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ZjuRrfEmcJZirdqNhZ/1t1nBFvdt+k2lBzwMDCgjEAolJRjGGtuAWqm/00EgM8U3VS2jA50PEchHy2LnrdF3Rg==" workbookSaltValue="2/L7lQgTSREh89t6sgieI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R18" i="11" s="1"/>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D13" i="7" s="1"/>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B13" i="7"/>
  <c r="AB19" i="19"/>
  <c r="E18" i="12"/>
  <c r="D18" i="12"/>
  <c r="ER19" i="8"/>
  <c r="EQ19" i="8"/>
  <c r="BA13" i="16"/>
  <c r="AC17" i="11"/>
  <c r="G18" i="12"/>
  <c r="W19" i="13"/>
  <c r="Z19" i="8"/>
  <c r="AL13" i="16"/>
  <c r="S13" i="16"/>
  <c r="P13" i="16"/>
  <c r="AN13" i="20"/>
  <c r="Z13" i="17"/>
  <c r="AN17" i="11"/>
  <c r="D17" i="6"/>
  <c r="H13" i="12"/>
  <c r="T19" i="8"/>
  <c r="T13" i="12"/>
  <c r="BG12" i="8"/>
  <c r="BG9" i="8"/>
  <c r="BD9" i="8"/>
  <c r="BF9" i="8"/>
  <c r="BA13" i="8"/>
  <c r="I19" i="8"/>
  <c r="E13" i="17"/>
  <c r="T13" i="20"/>
  <c r="T13" i="16"/>
  <c r="AP13" i="16"/>
  <c r="T18" i="17"/>
  <c r="J20" i="20"/>
  <c r="AF20" i="20"/>
  <c r="M20" i="20"/>
  <c r="AG20" i="20"/>
  <c r="S20" i="20"/>
  <c r="Z20" i="20"/>
  <c r="AM20" i="20"/>
  <c r="AK20" i="20"/>
  <c r="W20" i="21"/>
  <c r="K20" i="20"/>
  <c r="F20" i="20"/>
  <c r="G17" i="3" l="1"/>
  <c r="AH13" i="16"/>
  <c r="AA19" i="8"/>
  <c r="C19" i="3"/>
  <c r="BD15" i="13"/>
  <c r="BF12" i="8"/>
  <c r="AY13" i="8"/>
  <c r="BE9" i="8"/>
  <c r="BD15" i="8"/>
  <c r="G18" i="2"/>
  <c r="AC12" i="11"/>
  <c r="BF16" i="13"/>
  <c r="BG16" i="13"/>
  <c r="BD16" i="13"/>
  <c r="BE15" i="13"/>
  <c r="BE16" i="13"/>
  <c r="BD11" i="13"/>
  <c r="F11" i="16"/>
  <c r="R8" i="9"/>
  <c r="X16" i="17" s="1"/>
  <c r="AZ9" i="11"/>
  <c r="AZ19" i="11" s="1"/>
  <c r="S16" i="17"/>
  <c r="T9" i="11"/>
  <c r="AA16" i="16"/>
  <c r="AA11" i="16"/>
  <c r="U10" i="21"/>
  <c r="V17" i="16"/>
  <c r="L11" i="2"/>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I10" i="7" s="1"/>
  <c r="BE11" i="8"/>
  <c r="BE12" i="8"/>
  <c r="I12" i="7" s="1"/>
  <c r="AO9" i="11"/>
  <c r="F15" i="2"/>
  <c r="AL17" i="11"/>
  <c r="D15" i="6"/>
  <c r="C17" i="6"/>
  <c r="C15" i="6"/>
  <c r="F16" i="11"/>
  <c r="AP12" i="11"/>
  <c r="AP10" i="11"/>
  <c r="Y17" i="11"/>
  <c r="J13" i="11"/>
  <c r="N9" i="11"/>
  <c r="F12" i="11"/>
  <c r="AQ12" i="11" s="1"/>
  <c r="F11" i="11"/>
  <c r="F17" i="16"/>
  <c r="BL17" i="16" s="1"/>
  <c r="F11" i="17"/>
  <c r="AQ11" i="17" s="1"/>
  <c r="G9" i="12"/>
  <c r="Y11" i="11"/>
  <c r="H15" i="7"/>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I11" i="7"/>
  <c r="AM16"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U12" i="11"/>
  <c r="E20" i="20"/>
  <c r="T20" i="21"/>
  <c r="AJ20" i="20"/>
  <c r="Q20" i="20"/>
  <c r="AQ20" i="21"/>
  <c r="AU20" i="20"/>
  <c r="AD20" i="20"/>
  <c r="G18" i="14"/>
  <c r="AL20" i="20"/>
  <c r="AI20" i="20"/>
  <c r="U16" i="11"/>
  <c r="AV20" i="20"/>
  <c r="Y20" i="20"/>
  <c r="O10" i="11"/>
  <c r="U10" i="11"/>
  <c r="AA20" i="20"/>
  <c r="AQ13" i="21" l="1"/>
  <c r="V15" i="20"/>
  <c r="V18" i="20" s="1"/>
  <c r="AZ12" i="11"/>
  <c r="AA12" i="21"/>
  <c r="T17" i="20"/>
  <c r="X12" i="17"/>
  <c r="T15" i="11"/>
  <c r="R12" i="14"/>
  <c r="L12" i="2"/>
  <c r="X17" i="17"/>
  <c r="J15" i="12"/>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BW9" i="20"/>
  <c r="BV16" i="16"/>
  <c r="BV15" i="16"/>
  <c r="BU9" i="17"/>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AS18" i="16"/>
  <c r="AZ13" i="16"/>
  <c r="AN19" i="16"/>
  <c r="AW19" i="11"/>
  <c r="Q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D19" i="12"/>
  <c r="I17" i="12"/>
  <c r="AY19" i="8"/>
  <c r="P9"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U17" i="11"/>
  <c r="N20" i="20"/>
  <c r="X20" i="20"/>
  <c r="AW20" i="11"/>
  <c r="AV20" i="21"/>
  <c r="AB20" i="20"/>
  <c r="O20" i="20"/>
  <c r="O16" i="11"/>
  <c r="H20" i="17"/>
  <c r="H20" i="20"/>
  <c r="G21" i="21" l="1"/>
  <c r="V13" i="21"/>
  <c r="V19" i="21" s="1"/>
  <c r="BV18" i="16"/>
  <c r="BW21" i="20"/>
  <c r="Q15" i="11"/>
  <c r="BK18" i="11"/>
  <c r="P16" i="11"/>
  <c r="S13" i="14"/>
  <c r="BH13" i="11"/>
  <c r="X13" i="16"/>
  <c r="Q12" i="11"/>
  <c r="BK13" i="11"/>
  <c r="BK19" i="11" s="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<sst xmlns="http://schemas.openxmlformats.org/spreadsheetml/2006/main" count="2094" uniqueCount="914">
  <si>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</si>
  <si>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</si>
  <si>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</si>
  <si>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</si>
  <si>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</si>
  <si>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</si>
  <si>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</si>
  <si>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</si>
  <si>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</si>
  <si>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</si>
  <si>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</si>
  <si>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</si>
  <si>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</si>
  <si>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</si>
  <si>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</si>
  <si>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</si>
  <si>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</si>
  <si>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</si>
  <si>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</si>
  <si>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</si>
  <si>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</si>
  <si>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</si>
  <si>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</si>
  <si>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</si>
  <si>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</si>
  <si>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</si>
  <si>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</si>
  <si>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</si>
  <si>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</si>
  <si>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</si>
  <si>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</si>
  <si>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</si>
  <si>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</si>
  <si>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</si>
  <si>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</si>
  <si>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</si>
  <si>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</si>
  <si>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</si>
  <si>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</si>
  <si>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</si>
  <si>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</si>
  <si>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</si>
  <si>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</si>
  <si>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</si>
  <si>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</si>
  <si>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</si>
  <si>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</si>
  <si>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</si>
  <si>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</si>
  <si>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</si>
  <si>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</si>
  <si>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</si>
  <si>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</si>
  <si>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</si>
  <si>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</si>
  <si>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</si>
  <si>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</si>
  <si>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</si>
  <si>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</si>
  <si>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</si>
  <si>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</si>
  <si>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</si>
  <si>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</si>
  <si>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</si>
  <si>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</si>
  <si>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</si>
  <si>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</si>
  <si>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</si>
  <si>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</si>
  <si>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</si>
  <si>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</si>
  <si>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</si>
  <si>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</si>
  <si>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</si>
  <si>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</si>
  <si>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</si>
  <si>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</si>
  <si>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</si>
  <si>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</si>
  <si>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</si>
  <si>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</si>
  <si>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</si>
  <si>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</si>
  <si>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</si>
  <si>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</si>
  <si>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</si>
  <si>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</si>
  <si>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</si>
  <si>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</si>
  <si>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</si>
  <si>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</si>
  <si>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</si>
  <si>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</si>
  <si>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</si>
  <si>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</si>
  <si>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</si>
  <si>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</si>
  <si>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</si>
  <si>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</si>
  <si>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</si>
  <si>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</si>
  <si>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</si>
  <si>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</si>
  <si>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</si>
  <si>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</si>
  <si>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</si>
  <si>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</si>
  <si>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</si>
  <si>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</si>
  <si>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</si>
  <si>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</si>
  <si>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</si>
  <si>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</si>
  <si>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</si>
  <si>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</si>
  <si>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</si>
  <si>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</si>
  <si>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</si>
  <si>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</si>
  <si>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</si>
  <si>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</si>
  <si>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</si>
  <si>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</si>
  <si>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</si>
  <si>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</si>
  <si>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</si>
  <si>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</si>
  <si>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</si>
  <si>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</si>
  <si>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</si>
  <si>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</si>
  <si>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</si>
  <si>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</si>
  <si>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</si>
  <si>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</si>
  <si>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</si>
  <si>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</si>
  <si>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</si>
  <si>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</si>
  <si>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</si>
  <si>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</si>
  <si>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</si>
  <si>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</si>
  <si>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</si>
  <si>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</si>
  <si>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</si>
  <si>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</si>
  <si>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</si>
  <si>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</si>
  <si>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</si>
  <si>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</si>
  <si>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</si>
  <si>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</si>
  <si>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</si>
  <si>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</si>
  <si>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</si>
  <si>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</si>
  <si>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</si>
  <si>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</si>
  <si>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</si>
  <si>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</si>
  <si>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</si>
  <si>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</si>
  <si>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</si>
  <si>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</si>
  <si>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</si>
  <si>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</si>
  <si>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</si>
  <si>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</si>
  <si>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</si>
  <si>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</si>
  <si>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</si>
  <si>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</si>
  <si>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</si>
  <si>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</si>
  <si>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</si>
  <si>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</si>
  <si>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</si>
  <si>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</si>
  <si>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</si>
  <si>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</si>
  <si>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</si>
  <si>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</si>
  <si>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</si>
  <si>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</si>
  <si>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</si>
  <si>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</si>
  <si>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</si>
  <si>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</si>
  <si>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</si>
  <si>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</si>
  <si>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</si>
  <si>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</si>
  <si>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</si>
  <si>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</si>
  <si>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</si>
  <si>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</si>
  <si>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</si>
  <si>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</si>
  <si>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</si>
  <si>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</si>
  <si>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</si>
  <si>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</si>
  <si>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</si>
  <si>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</si>
  <si>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</si>
  <si>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</si>
  <si>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</si>
  <si>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</si>
  <si>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</si>
  <si>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</si>
  <si>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</si>
  <si>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</si>
  <si>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</si>
  <si>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</si>
  <si>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</si>
  <si>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</si>
  <si>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</si>
  <si>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</si>
  <si>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</si>
  <si>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</si>
  <si>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</si>
  <si>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</si>
  <si>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</si>
  <si>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</si>
  <si>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</si>
  <si>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</si>
  <si>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</si>
  <si>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</si>
  <si>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</si>
  <si>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</si>
  <si>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</si>
  <si>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</si>
  <si>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</si>
  <si>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</si>
  <si>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</si>
  <si>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</si>
  <si>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</si>
  <si>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</si>
  <si>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</si>
  <si>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</si>
  <si>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</si>
  <si>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</si>
  <si>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</si>
  <si>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</si>
  <si>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</si>
  <si>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</si>
  <si>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</si>
  <si>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</si>
  <si>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</si>
  <si>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</si>
  <si>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</si>
  <si>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</si>
  <si>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</si>
  <si>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</si>
  <si>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</si>
  <si>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</si>
  <si>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</si>
  <si>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</si>
  <si>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</si>
  <si>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</si>
  <si>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</si>
  <si>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</si>
  <si>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</si>
  <si>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</si>
  <si>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</si>
  <si>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</si>
  <si>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</si>
  <si>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</si>
  <si>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</si>
  <si>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</si>
  <si>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</si>
  <si>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</si>
  <si>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</si>
  <si>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</si>
  <si>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</si>
  <si>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</si>
  <si>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</si>
  <si>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</si>
  <si>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</si>
  <si>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</si>
  <si>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</si>
  <si>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</si>
  <si>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</si>
  <si>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</si>
  <si>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</si>
  <si>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</si>
  <si>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</si>
  <si>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</si>
  <si>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</si>
  <si>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</si>
  <si>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</si>
  <si>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</si>
  <si>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</si>
  <si>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</si>
  <si>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</si>
  <si>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</si>
  <si>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</si>
  <si>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</si>
  <si>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</si>
  <si>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</si>
  <si>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</si>
  <si>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</si>
  <si>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</si>
  <si>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</si>
  <si>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</si>
  <si>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</si>
  <si>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</si>
  <si>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</si>
  <si>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</si>
  <si>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</si>
  <si>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</si>
  <si>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</si>
  <si>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</si>
  <si>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</si>
  <si>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</si>
  <si>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</si>
  <si>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</si>
  <si>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</si>
  <si>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</si>
  <si>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</si>
  <si>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</si>
  <si>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</si>
  <si>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</si>
  <si>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</si>
  <si>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</si>
  <si>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</si>
  <si>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</si>
  <si>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</si>
  <si>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</si>
  <si>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</si>
  <si>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</si>
  <si>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</si>
  <si>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</si>
  <si>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</si>
  <si>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</si>
  <si>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</si>
  <si>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</si>
  <si>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</si>
  <si>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</si>
  <si>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</si>
  <si>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</si>
  <si>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</si>
  <si>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</si>
  <si>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</si>
  <si>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</si>
  <si>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</si>
  <si>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</si>
  <si>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</si>
  <si>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</si>
  <si>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</si>
  <si>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</si>
  <si>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</si>
  <si>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</si>
  <si>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</si>
  <si>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</si>
  <si>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</si>
  <si>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</si>
  <si>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</si>
  <si>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</si>
  <si>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</si>
  <si>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</si>
  <si>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</si>
  <si>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</si>
  <si>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</si>
  <si>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</si>
  <si>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</si>
  <si>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</si>
  <si>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</si>
  <si>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</si>
  <si>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</si>
  <si>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</si>
  <si>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</si>
  <si>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</si>
  <si>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</si>
  <si>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</si>
  <si>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</si>
  <si>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</si>
  <si>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</si>
  <si>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</si>
  <si>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</si>
  <si>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</si>
  <si>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</si>
  <si>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</si>
  <si>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</si>
  <si>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</si>
  <si>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</si>
  <si>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</si>
  <si>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</si>
  <si>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</si>
  <si>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</si>
  <si>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</si>
  <si>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</si>
  <si>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</si>
  <si>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</si>
  <si>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</si>
  <si>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</si>
  <si>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</si>
  <si>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</si>
  <si>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</si>
  <si>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</si>
  <si>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</si>
  <si>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</si>
  <si>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</si>
  <si>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</si>
  <si>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</si>
  <si>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</si>
  <si>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</si>
  <si>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</si>
  <si>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</si>
  <si>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</si>
  <si>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</si>
  <si>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</si>
  <si>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</si>
  <si>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</si>
  <si>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</si>
  <si>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</si>
  <si>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</si>
  <si>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</si>
  <si>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</si>
  <si>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</si>
  <si>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</si>
  <si>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</si>
  <si>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</si>
  <si>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</si>
  <si>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</si>
  <si>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</si>
  <si>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</si>
  <si>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</si>
  <si>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</si>
  <si>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</si>
  <si>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</si>
  <si>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</si>
  <si>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</si>
  <si>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</si>
  <si>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</si>
  <si>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</si>
  <si>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</si>
  <si>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</si>
  <si>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</si>
  <si>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</si>
  <si>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</si>
  <si>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</si>
  <si>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</si>
  <si>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</si>
  <si>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</si>
  <si>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</si>
  <si>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</si>
  <si>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</si>
  <si>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</si>
  <si>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</si>
  <si>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</si>
  <si>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</si>
  <si>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</si>
  <si>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</si>
  <si>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</si>
  <si>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</si>
  <si>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</si>
  <si>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</si>
  <si>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</si>
  <si>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</si>
  <si>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</si>
  <si>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</si>
  <si>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</si>
  <si>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</si>
  <si>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</si>
  <si>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</si>
  <si>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</si>
  <si>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</si>
  <si>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</si>
  <si>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</si>
  <si>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</si>
  <si>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</si>
  <si>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</si>
  <si>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</si>
  <si>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</si>
  <si>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</si>
  <si>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</si>
  <si>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</si>
  <si>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</si>
  <si>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</si>
  <si>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</si>
  <si>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</si>
  <si>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</si>
  <si>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</si>
  <si>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</si>
  <si>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</si>
  <si>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</si>
  <si>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</si>
  <si>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</si>
  <si>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</si>
  <si>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</si>
  <si>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</si>
  <si>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</si>
  <si>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</si>
  <si>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</si>
  <si>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</si>
  <si>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</si>
  <si>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</si>
  <si>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</si>
  <si>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</si>
  <si>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</si>
  <si>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</si>
  <si>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</si>
  <si>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</si>
  <si>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</si>
  <si>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</si>
  <si>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</si>
  <si>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</si>
  <si>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</si>
  <si>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</si>
  <si>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</si>
  <si>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</si>
  <si>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</si>
  <si>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</si>
  <si>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</si>
  <si>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</si>
  <si>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</si>
  <si>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</si>
  <si>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</si>
  <si>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</si>
  <si>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</si>
  <si>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</si>
  <si>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</si>
  <si>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</si>
  <si>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</si>
  <si>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</si>
  <si>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</si>
  <si>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</si>
  <si>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</si>
  <si>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</si>
  <si>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</si>
  <si>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</si>
  <si>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</si>
  <si>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</si>
  <si>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</si>
  <si>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</si>
  <si>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</si>
  <si>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</si>
  <si>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</si>
  <si>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</si>
  <si>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</si>
  <si>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</si>
  <si>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</si>
  <si>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</si>
  <si>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</si>
  <si>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</si>
  <si>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</si>
  <si>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</si>
  <si>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</si>
  <si>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</si>
  <si>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</si>
  <si>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</si>
  <si>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</si>
  <si>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</si>
  <si>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</si>
  <si>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</si>
  <si>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</si>
  <si>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</si>
  <si>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</si>
  <si>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</si>
  <si>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</si>
  <si>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</si>
  <si>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</si>
  <si>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</si>
  <si>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</si>
  <si>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</si>
  <si>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</si>
  <si>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</si>
  <si>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</si>
  <si>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</si>
  <si>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</si>
  <si>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</si>
  <si>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</si>
  <si>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</si>
  <si>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</si>
  <si>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</si>
  <si>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</si>
  <si>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</si>
  <si>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</si>
  <si>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</si>
  <si>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</si>
  <si>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</si>
  <si>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</si>
  <si>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</si>
  <si>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</si>
  <si>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</si>
  <si>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</si>
  <si>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</si>
  <si>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</si>
  <si>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</si>
  <si>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</si>
  <si>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</si>
  <si>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</si>
  <si>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</si>
  <si>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</si>
  <si>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</si>
  <si>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</si>
  <si>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</si>
  <si>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</si>
  <si>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</si>
  <si>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</si>
  <si>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</si>
  <si>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</si>
  <si>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</si>
  <si>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</si>
  <si>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</si>
  <si>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</si>
  <si>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</si>
  <si>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</si>
  <si>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</si>
  <si>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</si>
  <si>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</si>
  <si>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</si>
  <si>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</si>
  <si>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</si>
  <si>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</si>
  <si>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</si>
  <si>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</si>
  <si>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</si>
  <si>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</si>
  <si>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</si>
  <si>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</si>
  <si>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</si>
  <si>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</si>
  <si>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</si>
  <si>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</si>
  <si>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</si>
  <si>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</si>
  <si>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</si>
  <si>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</si>
  <si>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</si>
  <si>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</si>
  <si>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</si>
  <si>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</si>
  <si>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</si>
  <si>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</si>
  <si>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</si>
  <si>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</si>
  <si>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</si>
  <si>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</si>
  <si>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</si>
  <si>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</si>
  <si>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</si>
  <si>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</si>
  <si>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</si>
  <si>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</si>
  <si>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</si>
  <si>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</si>
  <si>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</si>
  <si>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</si>
  <si>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</si>
  <si>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</si>
  <si>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</si>
  <si>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</si>
  <si>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</si>
  <si>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</si>
  <si>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</si>
  <si>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</si>
  <si>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</si>
  <si>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</si>
  <si>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</si>
  <si>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</si>
  <si>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</si>
  <si>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</si>
  <si>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</si>
  <si>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</si>
  <si>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</si>
  <si>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</si>
  <si>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</si>
  <si>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</si>
  <si>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</si>
  <si>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</si>
  <si>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</si>
  <si>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</si>
  <si>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</si>
  <si>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</si>
  <si>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</si>
  <si>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</si>
  <si>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</si>
  <si>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</si>
  <si>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</si>
  <si>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</si>
  <si>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</si>
  <si>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</si>
  <si>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</si>
  <si>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</si>
  <si>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</si>
  <si>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</si>
  <si>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</si>
  <si>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</si>
  <si>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</si>
  <si>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</si>
  <si>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</si>
  <si>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</si>
  <si>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</si>
  <si>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</si>
  <si>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</si>
  <si>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</si>
  <si>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</si>
  <si>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</si>
  <si>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</si>
  <si>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</si>
  <si>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</si>
  <si>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</si>
  <si>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</si>
  <si>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</si>
  <si>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</si>
  <si>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</si>
  <si>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</si>
  <si>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</si>
  <si>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</si>
  <si>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</si>
  <si>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</si>
  <si>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</si>
  <si>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</si>
  <si>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</si>
  <si>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</si>
  <si>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</si>
  <si>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</si>
  <si>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</si>
  <si>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</si>
  <si>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</si>
  <si>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</si>
  <si>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</si>
  <si>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</si>
  <si>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</si>
  <si>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</si>
  <si>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</si>
  <si>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</si>
  <si>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</si>
  <si>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</si>
  <si>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</si>
  <si>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</si>
  <si>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</si>
  <si>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</si>
  <si>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</si>
  <si>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</si>
  <si>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</si>
  <si>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</si>
  <si>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</si>
  <si>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</si>
  <si>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</si>
  <si>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</si>
  <si>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</si>
  <si>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</si>
  <si>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</si>
  <si>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</si>
  <si>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</si>
  <si>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</si>
  <si>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</si>
  <si>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</si>
  <si>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</si>
  <si>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</si>
  <si>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</si>
  <si>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</si>
  <si>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</si>
  <si>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</si>
  <si>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</si>
  <si>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</si>
  <si>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</si>
  <si>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</si>
  <si>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</si>
  <si>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</si>
  <si>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</si>
  <si>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</si>
  <si>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</si>
  <si>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</si>
  <si>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</si>
  <si>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</si>
  <si>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</si>
  <si>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</si>
  <si>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</si>
  <si>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</si>
  <si>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</si>
  <si>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</si>
  <si>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</si>
  <si>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</si>
  <si>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</si>
  <si>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</si>
  <si>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</si>
  <si>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</si>
  <si>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</si>
  <si>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</si>
  <si>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</si>
  <si>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</si>
  <si>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</si>
  <si>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</si>
  <si>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</si>
  <si>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</si>
  <si>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</si>
  <si>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</si>
  <si>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</si>
  <si>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</si>
  <si>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</si>
  <si>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</si>
  <si>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</si>
  <si>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</si>
  <si>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</si>
  <si>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</si>
  <si>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</si>
  <si>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</si>
  <si>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</si>
  <si>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</si>
  <si>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</si>
  <si>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</si>
  <si>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</si>
  <si>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</si>
  <si>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</si>
  <si>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</si>
  <si>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</si>
  <si>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</si>
  <si>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</si>
  <si>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</si>
  <si>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</si>
  <si>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</si>
  <si>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</si>
  <si>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</si>
  <si>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</si>
  <si>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</si>
  <si>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</si>
  <si>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</si>
  <si>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</si>
  <si>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</si>
  <si>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</si>
  <si>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</si>
  <si>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</si>
  <si>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</si>
  <si>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</si>
  <si>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</si>
  <si>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</si>
  <si>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</si>
  <si>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</si>
  <si>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</si>
  <si>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</si>
  <si>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</si>
  <si>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</si>
  <si>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</si>
  <si>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</si>
  <si>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</si>
  <si>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</si>
  <si>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</si>
  <si>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</si>
  <si>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</si>
  <si>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</si>
  <si>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</si>
  <si>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</si>
  <si>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</si>
  <si>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</si>
  <si>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</si>
  <si>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</si>
  <si>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</si>
  <si>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</si>
  <si>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</si>
  <si>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</si>
  <si>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</si>
  <si>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</si>
  <si>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</si>
  <si>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</si>
  <si>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</si>
  <si>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</si>
  <si>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</si>
  <si>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</si>
  <si>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</si>
  <si>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</si>
  <si>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</si>
  <si>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</si>
  <si>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</si>
  <si>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</si>
  <si>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</si>
  <si>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</si>
  <si>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</si>
  <si>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</si>
  <si>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</si>
  <si>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</si>
  <si>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</si>
  <si>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</si>
  <si>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</si>
  <si>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</si>
  <si>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</si>
  <si>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</si>
  <si>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</si>
  <si>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</si>
  <si>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</si>
  <si>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</si>
  <si>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</si>
  <si>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</si>
  <si>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</si>
  <si>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</si>
  <si>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</si>
  <si>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</si>
  <si>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</si>
  <si>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</si>
  <si>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</si>
  <si>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</si>
  <si>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</si>
  <si>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</si>
  <si>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</si>
  <si>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</si>
  <si>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</si>
  <si>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</si>
  <si>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</si>
  <si>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</si>
  <si>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</si>
  <si>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</si>
  <si>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</si>
  <si>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</si>
  <si>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</si>
  <si>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</si>
  <si>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</si>
  <si>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</si>
  <si>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BARCELONA</t>
  </si>
  <si>
    <t>Resumenes por Partidos Judiciales</t>
  </si>
  <si>
    <t>SANT BOI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</si>
</sst>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UkK/isRee4O0cMmehuq4JzHgJpGgJAt1TmwllBkRYW0NHAdJdDySKrVj7OiHW1FI+wIhZJBmG4Q8GRh9G07zg==" saltValue="BJ4Efj626qTorR5R+o5p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48</v>
      </c>
      <c r="D10" s="228">
        <f>IF(ISNUMBER(Datos!I10),Datos!I10," - ")</f>
        <v>48</v>
      </c>
      <c r="E10" s="229">
        <f>IF(ISNUMBER(Datos!J10),Datos!J10," - ")</f>
        <v>55</v>
      </c>
      <c r="F10" s="229">
        <f>IF(ISNUMBER(Datos!K10),Datos!K10," - ")</f>
        <v>69</v>
      </c>
      <c r="G10" s="1037" t="str">
        <f>IF(Datos!E10&lt;&gt;"",Datos!E10,Datos!D10)</f>
        <v>37</v>
      </c>
      <c r="H10" s="230">
        <f>IF(ISNUMBER(Datos!L10),Datos!L10," - ")</f>
        <v>34</v>
      </c>
      <c r="I10" s="1047" t="str">
        <f>IF(ISNUMBER(Datos!AS10/Datos!BM10),Datos!AS10/Datos!BM10," - ")</f>
        <v xml:space="preserve"> - </v>
      </c>
      <c r="J10" s="1048">
        <f>IF(ISNUMBER(Datos!BY10/Datos!CN10),Datos!BY10/Datos!CN10," - ")</f>
        <v>0</v>
      </c>
      <c r="K10" s="233">
        <f t="shared" ref="K10:K12" si="1">IF(ISNUMBER((E10-F10)/C10),(E10-F10)/C10," - ")</f>
        <v>-0.29166666666666669</v>
      </c>
      <c r="L10" s="1028">
        <f>IF(ISNUMBER(NºAsuntos!I10/NºAsuntos!G10),(NºAsuntos!I10/NºAsuntos!G10)*11," - ")</f>
        <v>5.4202898550724639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5.7340249586528333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48</v>
      </c>
      <c r="D13" s="1052">
        <f>SUBTOTAL(9,D9:D12)</f>
        <v>48</v>
      </c>
      <c r="E13" s="1053">
        <f>SUBTOTAL(9,E9:E12)</f>
        <v>55</v>
      </c>
      <c r="F13" s="1054">
        <f>SUBTOTAL(9,F9:F12)</f>
        <v>69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1055</v>
      </c>
      <c r="D16" s="228">
        <f>IF(ISNUMBER(IF(D_I="SI",Datos!I16,Datos!I16+Datos!AC16)),IF(D_I="SI",Datos!I16,Datos!I16+Datos!AC16)," - ")</f>
        <v>1055</v>
      </c>
      <c r="E16" s="229">
        <f>IF(ISNUMBER(IF(D_I="SI",Datos!J16,Datos!J16+Datos!AD16)),IF(D_I="SI",Datos!J16,Datos!J16+Datos!AD16)," - ")</f>
        <v>7003</v>
      </c>
      <c r="F16" s="229">
        <f>IF(ISNUMBER(IF(D_I="SI",Datos!K16,Datos!K16+Datos!AE16)),IF(D_I="SI",Datos!K16,Datos!K16+Datos!AE16)," - ")</f>
        <v>6505</v>
      </c>
      <c r="G16" s="1037" t="str">
        <f>IF(Datos!E16&lt;&gt;"",Datos!E16,Datos!D16)</f>
        <v>04</v>
      </c>
      <c r="H16" s="230">
        <f>IF(ISNUMBER(IF(D_I="SI",Datos!L16,Datos!L16+Datos!AF16)),IF(D_I="SI",Datos!L16,Datos!L16+Datos!AF16)," - ")</f>
        <v>1553</v>
      </c>
      <c r="I16" s="1047" t="str">
        <f>IF(ISNUMBER(Datos!AS16/Datos!BM16),Datos!AS16/Datos!BM16," - ")</f>
        <v xml:space="preserve"> - </v>
      </c>
      <c r="J16" s="1048">
        <f>IF(ISNUMBER(Datos!BY16/Datos!CN16),Datos!BY16/Datos!CN16," - ")</f>
        <v>0</v>
      </c>
      <c r="K16" s="233">
        <f t="shared" si="3"/>
        <v>0.47203791469194312</v>
      </c>
      <c r="L16" s="1028">
        <f>IF(ISNUMBER(NºAsuntos!I16/NºAsuntos!G16),(NºAsuntos!I16/NºAsuntos!G16)*11," - ")</f>
        <v>2.6261337432744041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100</v>
      </c>
      <c r="D17" s="228">
        <f>IF(ISNUMBER(IF(D_I="SI",Datos!I17,Datos!I17+Datos!AC17)),IF(D_I="SI",Datos!I17,Datos!I17+Datos!AC17)," - ")</f>
        <v>100</v>
      </c>
      <c r="E17" s="229">
        <f>IF(ISNUMBER(IF(D_I="SI",Datos!J17,Datos!J17+Datos!AD17)),IF(D_I="SI",Datos!J17,Datos!J17+Datos!AD17)," - ")</f>
        <v>291</v>
      </c>
      <c r="F17" s="229">
        <f>IF(ISNUMBER(IF(D_I="SI",Datos!K17,Datos!K17+Datos!AE17)),IF(D_I="SI",Datos!K17,Datos!K17+Datos!AE17)," - ")</f>
        <v>295</v>
      </c>
      <c r="G17" s="1037" t="str">
        <f>IF(Datos!E17&lt;&gt;"",Datos!E17,Datos!D17)</f>
        <v>37</v>
      </c>
      <c r="H17" s="230">
        <f>IF(ISNUMBER(IF(D_I="SI",Datos!L17,Datos!L17+Datos!AF17)),IF(D_I="SI",Datos!L17,Datos!L17+Datos!AF17)," - ")</f>
        <v>96</v>
      </c>
      <c r="I17" s="1047" t="str">
        <f>IF(ISNUMBER(Datos!AS17/Datos!BM17),Datos!AS17/Datos!BM17," - ")</f>
        <v xml:space="preserve"> - </v>
      </c>
      <c r="J17" s="1048" t="str">
        <f>IF(ISNUMBER((Datos!BY17+Datos!BZ17)/Datos!CN17),(Datos!BY17+Datos!BZ17)/Datos!CN17," - ")</f>
        <v xml:space="preserve"> - </v>
      </c>
      <c r="K17" s="233">
        <f t="shared" si="3"/>
        <v>-0.04</v>
      </c>
      <c r="L17" s="1028">
        <f>IF(ISNUMBER(NºAsuntos!I17/NºAsuntos!G17),(NºAsuntos!I17/NºAsuntos!G17)*11," - ")</f>
        <v>3.5796610169491521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1155</v>
      </c>
      <c r="D18" s="1052">
        <f>SUBTOTAL(9,D15:D17)</f>
        <v>1155</v>
      </c>
      <c r="E18" s="1053">
        <f>SUBTOTAL(9,E15:E17)</f>
        <v>7294</v>
      </c>
      <c r="F18" s="1053">
        <f>SUBTOTAL(9,F15:F17)</f>
        <v>6800</v>
      </c>
      <c r="G18" s="1055" t="str">
        <f ca="1">INDIRECT(CONCATENATE("G",ROW()-1))</f>
        <v>37</v>
      </c>
      <c r="H18" s="1056">
        <f ca="1">SUMIF(G$14:G17,G18,H$14:H17)</f>
        <v>96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1203</v>
      </c>
      <c r="D19" s="1074">
        <f>SUBTOTAL(9,D9:D18)</f>
        <v>1203</v>
      </c>
      <c r="E19" s="1075">
        <f>SUBTOTAL(9,E9:E18)</f>
        <v>7349</v>
      </c>
      <c r="F19" s="1075">
        <f>SUBTOTAL(9,F9:F18)</f>
        <v>6869</v>
      </c>
      <c r="G19" s="1076"/>
      <c r="H19" s="1077">
        <f ca="1">SUMIF(B9:B18,"TOTAL",H9:H18)</f>
        <v>96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S8RgbXDWuOhCeyh2EEZxHZ18thCLUF2H4JUPzqjsIoy3uo49FmmX60WJ8Jh6zHZ8M51Zo1mK042b4gy1WOOkKw==" saltValue="VEEgoLudLW34lBX6kiNp2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kxk79yMltICNCeYMw/JVxsq6lXx+YJMLUf52o1SEk6e6yvPjrZ6FZXre5g7EOzLQ7dvlLXCK+Tp3Vn+O5Mr6nQ==" saltValue="qGAQYxHUuOCQ7hNIMoDP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48</v>
      </c>
      <c r="J10" s="184">
        <v>55</v>
      </c>
      <c r="K10" s="184">
        <v>69</v>
      </c>
      <c r="L10" s="184">
        <v>34</v>
      </c>
      <c r="M10" s="184">
        <v>31</v>
      </c>
      <c r="N10" s="184">
        <v>22</v>
      </c>
      <c r="O10" s="184">
        <v>10</v>
      </c>
      <c r="P10" s="184">
        <v>5</v>
      </c>
      <c r="Q10" s="184">
        <v>1</v>
      </c>
      <c r="R10" s="184">
        <v>25</v>
      </c>
      <c r="S10" s="184">
        <v>32</v>
      </c>
      <c r="T10" s="184">
        <v>52</v>
      </c>
      <c r="U10" s="184">
        <v>36</v>
      </c>
      <c r="V10" s="184">
        <v>48</v>
      </c>
      <c r="W10" s="184">
        <v>9</v>
      </c>
      <c r="X10" s="191">
        <v>10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32</v>
      </c>
      <c r="AZ10" s="129">
        <f t="shared" si="0"/>
        <v>52</v>
      </c>
      <c r="BA10" s="129">
        <f t="shared" si="0"/>
        <v>36</v>
      </c>
      <c r="BB10" s="129">
        <f t="shared" si="0"/>
        <v>48</v>
      </c>
      <c r="BC10" s="125">
        <f t="shared" si="0"/>
        <v>9</v>
      </c>
      <c r="BD10" s="126">
        <f>IF(ISNUMBER(BA10/AZ10),BA10/AZ10," - ")</f>
        <v>0.69230769230769229</v>
      </c>
      <c r="BE10" s="127">
        <f>IF(ISNUMBER(BB10/BA10),BB10/BA10, " - ")</f>
        <v>1.3333333333333333</v>
      </c>
      <c r="BF10" s="127">
        <f>IF(ISNUMBER(BC10/BA10),BC10/BA10, " - ")</f>
        <v>0.25</v>
      </c>
      <c r="BG10" s="199">
        <f>IF(ISNUMBER((AY10+AZ10)/BA10),(AY10+AZ10)/BA10," - ")</f>
        <v>2.3333333333333335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3101</v>
      </c>
      <c r="J12" s="186">
        <v>5248</v>
      </c>
      <c r="K12" s="186">
        <v>4991</v>
      </c>
      <c r="L12" s="186">
        <v>3356</v>
      </c>
      <c r="M12" s="186">
        <v>1299</v>
      </c>
      <c r="N12" s="186">
        <v>3302</v>
      </c>
      <c r="O12" s="184">
        <v>2119</v>
      </c>
      <c r="P12" s="186">
        <v>1225</v>
      </c>
      <c r="Q12" s="186">
        <v>969</v>
      </c>
      <c r="R12" s="186">
        <v>5043</v>
      </c>
      <c r="S12" s="186">
        <v>2601</v>
      </c>
      <c r="T12" s="186">
        <v>4982</v>
      </c>
      <c r="U12" s="186">
        <v>4584</v>
      </c>
      <c r="V12" s="186">
        <v>3101</v>
      </c>
      <c r="W12" s="186">
        <v>1052</v>
      </c>
      <c r="X12" s="192">
        <v>3117</v>
      </c>
      <c r="Y12" s="194">
        <v>127</v>
      </c>
      <c r="Z12" s="184">
        <v>1644</v>
      </c>
      <c r="AA12" s="184">
        <v>1660</v>
      </c>
      <c r="AB12" s="184">
        <v>111</v>
      </c>
      <c r="AC12" s="186">
        <v>0</v>
      </c>
      <c r="AD12" s="186">
        <v>0</v>
      </c>
      <c r="AE12" s="186">
        <v>0</v>
      </c>
      <c r="AF12" s="192">
        <v>0</v>
      </c>
      <c r="AG12" s="205">
        <v>87</v>
      </c>
      <c r="AH12" s="186">
        <v>1607</v>
      </c>
      <c r="AI12" s="186">
        <v>1547</v>
      </c>
      <c r="AJ12" s="206">
        <v>127</v>
      </c>
      <c r="AK12" s="185">
        <v>0</v>
      </c>
      <c r="AL12" s="186">
        <v>0</v>
      </c>
      <c r="AM12" s="186">
        <v>0</v>
      </c>
      <c r="AN12" s="192">
        <v>0</v>
      </c>
      <c r="AO12" s="262">
        <v>6</v>
      </c>
      <c r="AP12" s="158">
        <v>6</v>
      </c>
      <c r="AQ12" s="158">
        <v>6</v>
      </c>
      <c r="AR12" s="157">
        <v>6</v>
      </c>
      <c r="AS12" s="343" t="s">
        <v>803</v>
      </c>
      <c r="AT12" s="206"/>
      <c r="AU12" s="205"/>
      <c r="AV12" s="206"/>
      <c r="AW12" s="205"/>
      <c r="AX12" s="206"/>
      <c r="AY12" s="126">
        <f t="shared" si="1"/>
        <v>2688</v>
      </c>
      <c r="AZ12" s="127">
        <f t="shared" si="1"/>
        <v>6589</v>
      </c>
      <c r="BA12" s="127">
        <f t="shared" si="1"/>
        <v>6131</v>
      </c>
      <c r="BB12" s="127">
        <f t="shared" si="1"/>
        <v>3228</v>
      </c>
      <c r="BC12" s="125">
        <f>IF(ISNUMBER(X12),X12," - ")</f>
        <v>3117</v>
      </c>
      <c r="BD12" s="126">
        <f t="shared" si="2"/>
        <v>0.93049021095765672</v>
      </c>
      <c r="BE12" s="127">
        <f t="shared" si="3"/>
        <v>0.52650464850758438</v>
      </c>
      <c r="BF12" s="127">
        <f t="shared" si="4"/>
        <v>0.50839993475778833</v>
      </c>
      <c r="BG12" s="199">
        <f t="shared" si="5"/>
        <v>1.5131299951068342</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3149</v>
      </c>
      <c r="J13" s="187">
        <f t="shared" si="6"/>
        <v>5303</v>
      </c>
      <c r="K13" s="187">
        <f t="shared" si="6"/>
        <v>5060</v>
      </c>
      <c r="L13" s="187">
        <f t="shared" si="6"/>
        <v>3390</v>
      </c>
      <c r="M13" s="187">
        <f t="shared" si="6"/>
        <v>1330</v>
      </c>
      <c r="N13" s="187">
        <f t="shared" si="6"/>
        <v>3324</v>
      </c>
      <c r="O13" s="187">
        <f t="shared" si="6"/>
        <v>2129</v>
      </c>
      <c r="P13" s="187">
        <f t="shared" si="6"/>
        <v>1230</v>
      </c>
      <c r="Q13" s="187">
        <f t="shared" si="6"/>
        <v>970</v>
      </c>
      <c r="R13" s="187">
        <f t="shared" si="6"/>
        <v>5068</v>
      </c>
      <c r="S13" s="187">
        <f t="shared" si="6"/>
        <v>2633</v>
      </c>
      <c r="T13" s="187">
        <f t="shared" si="6"/>
        <v>5034</v>
      </c>
      <c r="U13" s="187">
        <f t="shared" si="6"/>
        <v>4620</v>
      </c>
      <c r="V13" s="187">
        <f t="shared" si="6"/>
        <v>3149</v>
      </c>
      <c r="W13" s="187">
        <f t="shared" si="6"/>
        <v>1061</v>
      </c>
      <c r="X13" s="187">
        <f t="shared" si="6"/>
        <v>3127</v>
      </c>
      <c r="Y13" s="187">
        <f t="shared" si="6"/>
        <v>127</v>
      </c>
      <c r="Z13" s="187">
        <f t="shared" si="6"/>
        <v>1644</v>
      </c>
      <c r="AA13" s="187">
        <f t="shared" si="6"/>
        <v>1660</v>
      </c>
      <c r="AB13" s="187">
        <f t="shared" si="6"/>
        <v>111</v>
      </c>
      <c r="AC13" s="187">
        <f t="shared" si="6"/>
        <v>0</v>
      </c>
      <c r="AD13" s="187">
        <f t="shared" si="6"/>
        <v>0</v>
      </c>
      <c r="AE13" s="187">
        <f t="shared" si="6"/>
        <v>0</v>
      </c>
      <c r="AF13" s="187">
        <f>SUBTOTAL(9,AF9:AF12)</f>
        <v>0</v>
      </c>
      <c r="AG13" s="187">
        <f t="shared" ref="AG13:AT13" si="7">SUBTOTAL(9,AG8:AG12)</f>
        <v>87</v>
      </c>
      <c r="AH13" s="187">
        <f t="shared" si="7"/>
        <v>1607</v>
      </c>
      <c r="AI13" s="187">
        <f t="shared" si="7"/>
        <v>1547</v>
      </c>
      <c r="AJ13" s="187">
        <f t="shared" si="7"/>
        <v>127</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2720</v>
      </c>
      <c r="AZ13" s="187">
        <f>SUBTOTAL(9,AZ8:AZ12)</f>
        <v>6641</v>
      </c>
      <c r="BA13" s="187">
        <f>SUBTOTAL(9,BA8:BA12)</f>
        <v>6167</v>
      </c>
      <c r="BB13" s="187">
        <f>SUBTOTAL(9,BB8:BB12)</f>
        <v>3276</v>
      </c>
      <c r="BC13" s="187">
        <f>SUBTOTAL(9,BC8:BC12)</f>
        <v>3126</v>
      </c>
      <c r="BD13" s="208">
        <f>IF(ISNUMBER(BA13/AZ13),BA13/AZ13," - ")</f>
        <v>0.92862520704713147</v>
      </c>
      <c r="BE13" s="209">
        <f>IF(ISNUMBER(BB13/BA13),BB13/BA13, " - ")</f>
        <v>0.53121452894438137</v>
      </c>
      <c r="BF13" s="209">
        <f>IF(ISNUMBER(BC13/BA13),BC13/BA13, " - ")</f>
        <v>0.5068915193773309</v>
      </c>
      <c r="BG13" s="210">
        <f>IF(ISNUMBER((AY13+AZ13)/BA13),(AY13+AZ13)/BA13," - ")</f>
        <v>1.5179179503810605</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1055</v>
      </c>
      <c r="J16" s="186">
        <v>7003</v>
      </c>
      <c r="K16" s="186">
        <v>6505</v>
      </c>
      <c r="L16" s="186">
        <v>1553</v>
      </c>
      <c r="M16" s="186">
        <v>693</v>
      </c>
      <c r="N16" s="186">
        <v>4961</v>
      </c>
      <c r="O16" s="184">
        <v>0</v>
      </c>
      <c r="P16" s="186">
        <v>211</v>
      </c>
      <c r="Q16" s="186">
        <v>114</v>
      </c>
      <c r="R16" s="186">
        <v>475</v>
      </c>
      <c r="S16" s="186">
        <v>847</v>
      </c>
      <c r="T16" s="186">
        <v>6656</v>
      </c>
      <c r="U16" s="186">
        <v>6418</v>
      </c>
      <c r="V16" s="186">
        <v>1055</v>
      </c>
      <c r="W16" s="186">
        <v>749</v>
      </c>
      <c r="X16" s="192">
        <v>4911</v>
      </c>
      <c r="Y16" s="205">
        <v>0</v>
      </c>
      <c r="Z16" s="186">
        <v>0</v>
      </c>
      <c r="AA16" s="186">
        <v>0</v>
      </c>
      <c r="AB16" s="186">
        <v>0</v>
      </c>
      <c r="AC16" s="186">
        <v>0</v>
      </c>
      <c r="AD16" s="186">
        <v>3</v>
      </c>
      <c r="AE16" s="186">
        <v>1</v>
      </c>
      <c r="AF16" s="192">
        <v>2</v>
      </c>
      <c r="AG16" s="205">
        <v>0</v>
      </c>
      <c r="AH16" s="186">
        <v>0</v>
      </c>
      <c r="AI16" s="186">
        <v>0</v>
      </c>
      <c r="AJ16" s="206">
        <v>0</v>
      </c>
      <c r="AK16" s="185">
        <v>0</v>
      </c>
      <c r="AL16" s="186">
        <v>34</v>
      </c>
      <c r="AM16" s="186">
        <v>34</v>
      </c>
      <c r="AN16" s="192">
        <v>0</v>
      </c>
      <c r="AO16" s="262">
        <v>6</v>
      </c>
      <c r="AP16" s="158">
        <v>6</v>
      </c>
      <c r="AQ16" s="158">
        <v>6</v>
      </c>
      <c r="AR16" s="158">
        <v>6</v>
      </c>
      <c r="AS16" s="343" t="s">
        <v>487</v>
      </c>
      <c r="AT16" s="206"/>
      <c r="AU16" s="205"/>
      <c r="AV16" s="206"/>
      <c r="AW16" s="205"/>
      <c r="AX16" s="206"/>
      <c r="AY16" s="126">
        <f t="shared" si="9"/>
        <v>847</v>
      </c>
      <c r="AZ16" s="127">
        <f t="shared" si="9"/>
        <v>6656</v>
      </c>
      <c r="BA16" s="127">
        <f t="shared" si="9"/>
        <v>6418</v>
      </c>
      <c r="BB16" s="127">
        <f t="shared" si="9"/>
        <v>1055</v>
      </c>
      <c r="BC16" s="125">
        <f>IF(ISNUMBER(W16),W16," - ")</f>
        <v>749</v>
      </c>
      <c r="BD16" s="126">
        <f t="shared" ref="BD16" si="11">IF(ISNUMBER(BA16/AZ16),BA16/AZ16," - ")</f>
        <v>0.96424278846153844</v>
      </c>
      <c r="BE16" s="127">
        <f t="shared" ref="BE16" si="12">IF(ISNUMBER(BB16/BA16),BB16/BA16, " - ")</f>
        <v>0.16438142723589905</v>
      </c>
      <c r="BF16" s="127">
        <f t="shared" ref="BF16" si="13">IF(ISNUMBER(BC16/BA16),BC16/BA16, " - ")</f>
        <v>0.11670302274851979</v>
      </c>
      <c r="BG16" s="199">
        <f t="shared" si="10"/>
        <v>1.1690557806170145</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100</v>
      </c>
      <c r="J17" s="186">
        <v>291</v>
      </c>
      <c r="K17" s="186">
        <v>295</v>
      </c>
      <c r="L17" s="186">
        <v>96</v>
      </c>
      <c r="M17" s="186">
        <v>17</v>
      </c>
      <c r="N17" s="186">
        <v>234</v>
      </c>
      <c r="O17" s="186">
        <v>0</v>
      </c>
      <c r="P17" s="186">
        <v>4</v>
      </c>
      <c r="Q17" s="186">
        <v>2</v>
      </c>
      <c r="R17" s="186">
        <v>5</v>
      </c>
      <c r="S17" s="186">
        <v>64</v>
      </c>
      <c r="T17" s="186">
        <v>375</v>
      </c>
      <c r="U17" s="186">
        <v>339</v>
      </c>
      <c r="V17" s="186">
        <v>100</v>
      </c>
      <c r="W17" s="186">
        <v>22</v>
      </c>
      <c r="X17" s="192">
        <v>267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64</v>
      </c>
      <c r="AZ17" s="129">
        <f t="shared" si="14"/>
        <v>375</v>
      </c>
      <c r="BA17" s="129">
        <f t="shared" si="14"/>
        <v>339</v>
      </c>
      <c r="BB17" s="129">
        <f t="shared" si="14"/>
        <v>100</v>
      </c>
      <c r="BC17" s="125">
        <f>IF(ISNUMBER(W17),W17," - ")</f>
        <v>22</v>
      </c>
      <c r="BD17" s="126">
        <f>IF(ISNUMBER(BA17/AZ17),BA17/AZ17," - ")</f>
        <v>0.90400000000000003</v>
      </c>
      <c r="BE17" s="127">
        <f>IF(ISNUMBER(BB17/BA17),BB17/BA17, " - ")</f>
        <v>0.29498525073746312</v>
      </c>
      <c r="BF17" s="127">
        <f>IF(ISNUMBER(BC17/BA17),BC17/BA17, " - ")</f>
        <v>6.4896755162241887E-2</v>
      </c>
      <c r="BG17" s="199">
        <f>IF(ISNUMBER((AY17+AZ17)/BA17),(AY17+AZ17)/BA17," - ")</f>
        <v>1.2949852507374631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1155</v>
      </c>
      <c r="J18" s="187">
        <f t="shared" si="15"/>
        <v>7294</v>
      </c>
      <c r="K18" s="187">
        <f t="shared" si="15"/>
        <v>6800</v>
      </c>
      <c r="L18" s="187">
        <f t="shared" si="15"/>
        <v>1649</v>
      </c>
      <c r="M18" s="187">
        <f t="shared" si="15"/>
        <v>710</v>
      </c>
      <c r="N18" s="187">
        <f t="shared" si="15"/>
        <v>5195</v>
      </c>
      <c r="O18" s="187">
        <f t="shared" si="15"/>
        <v>0</v>
      </c>
      <c r="P18" s="187">
        <f t="shared" si="15"/>
        <v>215</v>
      </c>
      <c r="Q18" s="187">
        <f t="shared" si="15"/>
        <v>116</v>
      </c>
      <c r="R18" s="187">
        <f t="shared" si="15"/>
        <v>480</v>
      </c>
      <c r="S18" s="187">
        <f t="shared" si="15"/>
        <v>911</v>
      </c>
      <c r="T18" s="187">
        <f t="shared" si="15"/>
        <v>7031</v>
      </c>
      <c r="U18" s="187">
        <f t="shared" si="15"/>
        <v>6757</v>
      </c>
      <c r="V18" s="187">
        <f t="shared" si="15"/>
        <v>1155</v>
      </c>
      <c r="W18" s="187">
        <f t="shared" si="15"/>
        <v>771</v>
      </c>
      <c r="X18" s="187">
        <f t="shared" si="15"/>
        <v>5178</v>
      </c>
      <c r="Y18" s="187">
        <f t="shared" si="15"/>
        <v>0</v>
      </c>
      <c r="Z18" s="187">
        <f t="shared" si="15"/>
        <v>0</v>
      </c>
      <c r="AA18" s="187">
        <f t="shared" si="15"/>
        <v>0</v>
      </c>
      <c r="AB18" s="187">
        <f t="shared" si="15"/>
        <v>0</v>
      </c>
      <c r="AC18" s="187">
        <f t="shared" si="15"/>
        <v>0</v>
      </c>
      <c r="AD18" s="187">
        <f t="shared" si="15"/>
        <v>3</v>
      </c>
      <c r="AE18" s="187">
        <f t="shared" si="15"/>
        <v>1</v>
      </c>
      <c r="AF18" s="187">
        <f t="shared" si="15"/>
        <v>2</v>
      </c>
      <c r="AG18" s="187">
        <f t="shared" si="15"/>
        <v>0</v>
      </c>
      <c r="AH18" s="187">
        <f t="shared" si="15"/>
        <v>0</v>
      </c>
      <c r="AI18" s="187">
        <f t="shared" si="15"/>
        <v>0</v>
      </c>
      <c r="AJ18" s="187">
        <f t="shared" si="15"/>
        <v>0</v>
      </c>
      <c r="AK18" s="187">
        <f t="shared" si="15"/>
        <v>0</v>
      </c>
      <c r="AL18" s="187">
        <f t="shared" si="15"/>
        <v>34</v>
      </c>
      <c r="AM18" s="187">
        <f t="shared" si="15"/>
        <v>34</v>
      </c>
      <c r="AN18" s="187">
        <f t="shared" si="15"/>
        <v>0</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911</v>
      </c>
      <c r="AZ18" s="187">
        <f>SUBTOTAL(9,AZ14:AZ17)</f>
        <v>7031</v>
      </c>
      <c r="BA18" s="187">
        <f>SUBTOTAL(9,BA14:BA17)</f>
        <v>6757</v>
      </c>
      <c r="BB18" s="187">
        <f>SUBTOTAL(9,BB14:BB17)</f>
        <v>1155</v>
      </c>
      <c r="BC18" s="187">
        <f>SUBTOTAL(9,BC14:BC17)</f>
        <v>771</v>
      </c>
      <c r="BD18" s="208">
        <f>IF(ISNUMBER(BA18/AZ18),BA18/AZ18," - ")</f>
        <v>0.96102972550135113</v>
      </c>
      <c r="BE18" s="209">
        <f>IF(ISNUMBER(BB18/BA18),BB18/BA18, " - ")</f>
        <v>0.17093384638153025</v>
      </c>
      <c r="BF18" s="209">
        <f>IF(ISNUMBER(BC18/BA18),BC18/BA18, " - ")</f>
        <v>0.11410389225987864</v>
      </c>
      <c r="BG18" s="210">
        <f>IF(ISNUMBER((AY18+AZ18)/BA18),(AY18+AZ18)/BA18," - ")</f>
        <v>1.1753736865472844</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4304</v>
      </c>
      <c r="J19" s="134">
        <f t="shared" si="18"/>
        <v>12597</v>
      </c>
      <c r="K19" s="134">
        <f t="shared" si="18"/>
        <v>11860</v>
      </c>
      <c r="L19" s="134">
        <f t="shared" si="18"/>
        <v>5039</v>
      </c>
      <c r="M19" s="134">
        <f t="shared" si="18"/>
        <v>2040</v>
      </c>
      <c r="N19" s="134">
        <f t="shared" si="18"/>
        <v>8519</v>
      </c>
      <c r="O19" s="134">
        <f t="shared" si="18"/>
        <v>2129</v>
      </c>
      <c r="P19" s="134">
        <f t="shared" si="18"/>
        <v>1445</v>
      </c>
      <c r="Q19" s="134">
        <f t="shared" si="18"/>
        <v>1086</v>
      </c>
      <c r="R19" s="134">
        <f t="shared" si="18"/>
        <v>5548</v>
      </c>
      <c r="S19" s="134">
        <f t="shared" si="18"/>
        <v>3544</v>
      </c>
      <c r="T19" s="134">
        <f t="shared" si="18"/>
        <v>12065</v>
      </c>
      <c r="U19" s="134">
        <f t="shared" si="18"/>
        <v>11377</v>
      </c>
      <c r="V19" s="134">
        <f t="shared" si="18"/>
        <v>4304</v>
      </c>
      <c r="W19" s="134">
        <f t="shared" si="18"/>
        <v>1832</v>
      </c>
      <c r="X19" s="134">
        <f t="shared" si="18"/>
        <v>8305</v>
      </c>
      <c r="Y19" s="134">
        <f t="shared" si="18"/>
        <v>127</v>
      </c>
      <c r="Z19" s="134">
        <f t="shared" si="18"/>
        <v>1644</v>
      </c>
      <c r="AA19" s="134">
        <f t="shared" si="18"/>
        <v>1660</v>
      </c>
      <c r="AB19" s="134">
        <f t="shared" si="18"/>
        <v>111</v>
      </c>
      <c r="AC19" s="134">
        <f t="shared" si="18"/>
        <v>0</v>
      </c>
      <c r="AD19" s="134">
        <f t="shared" si="18"/>
        <v>3</v>
      </c>
      <c r="AE19" s="134">
        <f t="shared" si="18"/>
        <v>1</v>
      </c>
      <c r="AF19" s="134">
        <f t="shared" si="18"/>
        <v>2</v>
      </c>
      <c r="AG19" s="134">
        <f t="shared" si="18"/>
        <v>87</v>
      </c>
      <c r="AH19" s="134">
        <f t="shared" si="18"/>
        <v>1607</v>
      </c>
      <c r="AI19" s="134">
        <f t="shared" si="18"/>
        <v>1547</v>
      </c>
      <c r="AJ19" s="134">
        <f t="shared" si="18"/>
        <v>127</v>
      </c>
      <c r="AK19" s="134">
        <f t="shared" si="18"/>
        <v>0</v>
      </c>
      <c r="AL19" s="134">
        <f t="shared" si="18"/>
        <v>34</v>
      </c>
      <c r="AM19" s="134">
        <f t="shared" si="18"/>
        <v>34</v>
      </c>
      <c r="AN19" s="213">
        <f t="shared" si="18"/>
        <v>0</v>
      </c>
      <c r="AO19" s="214">
        <v>7</v>
      </c>
      <c r="AP19" s="214">
        <v>6</v>
      </c>
      <c r="AQ19" s="214">
        <v>6</v>
      </c>
      <c r="AR19" s="214">
        <v>6</v>
      </c>
      <c r="AS19" s="156">
        <f t="shared" si="18"/>
        <v>0</v>
      </c>
      <c r="AT19" s="156">
        <f t="shared" si="18"/>
        <v>0</v>
      </c>
      <c r="AU19" s="214"/>
      <c r="AV19" s="215"/>
      <c r="AW19" s="214"/>
      <c r="AX19" s="215"/>
      <c r="AY19" s="133">
        <f>SUBTOTAL(9,AY9:AY18)</f>
        <v>3631</v>
      </c>
      <c r="AZ19" s="134">
        <f>SUBTOTAL(9,AZ9:AZ18)</f>
        <v>13672</v>
      </c>
      <c r="BA19" s="134">
        <f>SUBTOTAL(9,BA9:BA18)</f>
        <v>12924</v>
      </c>
      <c r="BB19" s="134">
        <f>SUBTOTAL(9,BB9:BB18)</f>
        <v>4431</v>
      </c>
      <c r="BC19" s="135">
        <f>SUBTOTAL(9,BC9:BC18)</f>
        <v>3897</v>
      </c>
      <c r="BD19" s="216">
        <f>IF(ISNUMBER(BA19/AZ19),BA19/AZ19," - ")</f>
        <v>0.94528964306612051</v>
      </c>
      <c r="BE19" s="213">
        <f>IF(ISNUMBER(BB19/BA19),BB19/BA19, " - ")</f>
        <v>0.34285051067780875</v>
      </c>
      <c r="BF19" s="213">
        <f>IF(ISNUMBER(BC19/BA19),BC19/BA19, " - ")</f>
        <v>0.30153203342618384</v>
      </c>
      <c r="BG19" s="135">
        <f>IF(ISNUMBER((AY19+AZ19)/BA19),(AY19+AZ19)/BA19," - ")</f>
        <v>1.338826988548437</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ALNpfeaVonz5jE38tUqQeQEVqeyx+1yP8M1ii9tsvJsgQrIDuPRGZ4BwThRU274nE3MIOOkyQocJGegKsSLPQ==" saltValue="Q6+Bd1/eyZ2dE1Ab7AvcY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sOryYVUuc+X1uk/8SW557YDgfpchIuJrpaiujCJfRqQM4ZoYQfUiLrKFicITjeMNna36E902Ftw880nlz5P7w==" saltValue="l4A5a1WR3JdRAFa0YONuT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SANT BOI DE LLOBREGAT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48</v>
      </c>
      <c r="G10" s="336">
        <f>IF(ISNUMBER(Datos!I10),Datos!I10," - ")</f>
        <v>48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69</v>
      </c>
      <c r="AC10" s="229">
        <f>IF(ISNUMBER(Datos!Q10),Datos!Q10," - ")</f>
        <v>1</v>
      </c>
      <c r="AD10" s="337"/>
      <c r="AE10" s="487"/>
      <c r="AF10" s="335">
        <f>IF(ISNUMBER(Datos!L10),Datos!L10,"-")</f>
        <v>34</v>
      </c>
      <c r="AG10" s="337"/>
      <c r="AH10" s="337"/>
      <c r="AI10" s="337"/>
      <c r="AJ10" s="337"/>
      <c r="AK10" s="337"/>
      <c r="AL10" s="482"/>
      <c r="AM10" s="338">
        <f>IF(ISNUMBER(Datos!R10),Datos!R10," - ")</f>
        <v>25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31</v>
      </c>
      <c r="BD10" s="232">
        <f>IF(ISNUMBER(Datos!N10),Datos!N10," - ")</f>
        <v>22</v>
      </c>
      <c r="BE10" s="232" t="str">
        <f>IF(ISNUMBER(Datos!BW10),Datos!BW10," - ")</f>
        <v xml:space="preserve"> - </v>
      </c>
      <c r="BF10" s="231" t="str">
        <f>IF(ISNUMBER(Datos!BX10),Datos!BX10," - ")</f>
        <v xml:space="preserve"> - </v>
      </c>
      <c r="BG10" s="246">
        <f>IF(ISNUMBER(Datos!K10/Datos!J10),Datos!K10/Datos!J10," - ")</f>
        <v>1.2545454545454546</v>
      </c>
      <c r="BH10" s="263">
        <f>IF(ISNUMBER(((Datos!L10/Datos!K10)*11)/factor_trimestre),((Datos!L10/Datos!K10)*11)/factor_trimestre," - ")</f>
        <v>5.4202898550724639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0.19047619047619047</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6</v>
      </c>
      <c r="B12" s="510" t="s">
        <v>246</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1644</v>
      </c>
      <c r="O12" s="337"/>
      <c r="P12" s="337"/>
      <c r="Q12" s="229">
        <f>IF(ISNUMBER(Datos!P12),Datos!P12,0)</f>
        <v>1225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969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111</v>
      </c>
      <c r="AI12" s="337" t="str">
        <f>IF(ISNUMBER(Datos!CD12),Datos!CD12,"-")</f>
        <v>-</v>
      </c>
      <c r="AJ12" s="337" t="str">
        <f>IF(ISNUMBER(Datos!EN12),Datos!EN12," - ")</f>
        <v xml:space="preserve"> - </v>
      </c>
      <c r="AK12" s="337"/>
      <c r="AL12" s="482"/>
      <c r="AM12" s="338">
        <f>IF(ISNUMBER(Datos!R12),Datos!R12," - ")</f>
        <v>5043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1299</v>
      </c>
      <c r="BD12" s="232">
        <f>IF(ISNUMBER(Datos!N12),Datos!N12," - ")</f>
        <v>3302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0.96503192106790481</v>
      </c>
      <c r="BH12" s="263">
        <f>IF(ISNUMBER(((IF(J_V="SI",Datos!L12/Datos!K12,(Datos!L12+Datos!AB12)/(Datos!K12+Datos!AA12)))*11)/factor_trimestre),((IF(J_V="SI",Datos!L12/Datos!K12,(Datos!L12+Datos!AB12)/(Datos!K12+Datos!AA12)))*11)/factor_trimestre," - ")</f>
        <v>5.7340249586528333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5.347817004386881E-2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48</v>
      </c>
      <c r="G13" s="901">
        <f t="shared" si="0"/>
        <v>48</v>
      </c>
      <c r="H13" s="902">
        <f t="shared" si="0"/>
        <v>0</v>
      </c>
      <c r="I13" s="901">
        <f t="shared" si="0"/>
        <v>0</v>
      </c>
      <c r="J13" s="870">
        <f t="shared" si="0"/>
        <v>0</v>
      </c>
      <c r="K13" s="870">
        <f t="shared" si="0"/>
        <v>0</v>
      </c>
      <c r="L13" s="902">
        <f t="shared" si="0"/>
        <v>0</v>
      </c>
      <c r="M13" s="902">
        <f t="shared" si="0"/>
        <v>0</v>
      </c>
      <c r="N13" s="902">
        <f t="shared" si="0"/>
        <v>1644</v>
      </c>
      <c r="O13" s="903">
        <f t="shared" si="0"/>
        <v>0</v>
      </c>
      <c r="P13" s="903">
        <f t="shared" si="0"/>
        <v>0</v>
      </c>
      <c r="Q13" s="902">
        <f t="shared" si="0"/>
        <v>1230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69</v>
      </c>
      <c r="AC13" s="902">
        <f t="shared" si="1"/>
        <v>970</v>
      </c>
      <c r="AD13" s="902">
        <f t="shared" si="1"/>
        <v>0</v>
      </c>
      <c r="AE13" s="902">
        <f t="shared" si="1"/>
        <v>0</v>
      </c>
      <c r="AF13" s="902">
        <f t="shared" si="1"/>
        <v>34</v>
      </c>
      <c r="AG13" s="902">
        <f t="shared" si="1"/>
        <v>0</v>
      </c>
      <c r="AH13" s="902">
        <f t="shared" si="1"/>
        <v>111</v>
      </c>
      <c r="AI13" s="902">
        <f t="shared" si="1"/>
        <v>0</v>
      </c>
      <c r="AJ13" s="902">
        <f t="shared" si="1"/>
        <v>0</v>
      </c>
      <c r="AK13" s="902">
        <f t="shared" si="1"/>
        <v>0</v>
      </c>
      <c r="AL13" s="902">
        <f t="shared" si="1"/>
        <v>0</v>
      </c>
      <c r="AM13" s="902">
        <f t="shared" si="1"/>
        <v>5068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1330</v>
      </c>
      <c r="BD13" s="902">
        <f t="shared" si="1"/>
        <v>3324</v>
      </c>
      <c r="BE13" s="902">
        <f t="shared" si="1"/>
        <v>0</v>
      </c>
      <c r="BF13" s="902">
        <f t="shared" si="1"/>
        <v>0</v>
      </c>
      <c r="BG13" s="902">
        <f>IF(ISNUMBER(Datos!K13/Datos!J13),Datos!K13/Datos!J13," - ")</f>
        <v>0.9541768810107486</v>
      </c>
      <c r="BH13" s="906">
        <f>IF(ISNUMBER(((Datos!L13/Datos!K13)*11)/factor_trimestre),((Datos!L13/Datos!K13)*11)/factor_trimestre," - ")</f>
        <v>7.3695652173913047</v>
      </c>
      <c r="BI13" s="902">
        <f>IF(ISNUMBER('Resol  Asuntos'!D13/NºAsuntos!G13),'Resol  Asuntos'!D13/NºAsuntos!G13," - ")</f>
        <v>0.19791666666666666</v>
      </c>
      <c r="BJ13" s="902" t="str">
        <f>IF(ISNUMBER(Datos!CI13/Datos!CJ13),Datos!CI13/Datos!CJ13," - ")</f>
        <v xml:space="preserve"> - </v>
      </c>
      <c r="BK13" s="902">
        <f>SUBTOTAL(9,BK8:BK12)</f>
        <v>0</v>
      </c>
      <c r="BL13" s="902">
        <f>IF(ISNUMBER((I13-AB13+L13)/(F13)),(I13-AB13+L13)/(F13)," - ")</f>
        <v>-1.4375</v>
      </c>
      <c r="BM13" s="907">
        <f>SUBTOTAL(9,BM9:BM12)</f>
        <v>0.24395436052005928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6</v>
      </c>
      <c r="B16" s="597" t="s">
        <v>396</v>
      </c>
      <c r="C16" s="603" t="str">
        <f>Datos!A16</f>
        <v xml:space="preserve">Jdos. 1ª Instª. e Instr.                        </v>
      </c>
      <c r="D16" s="604"/>
      <c r="E16" s="1168">
        <f>IF(ISNUMBER(Datos!AQ16),Datos!AQ16," - ")</f>
        <v>6</v>
      </c>
      <c r="F16" s="598">
        <f>IF(ISNUMBER(AF16+AB16-Datos!J16-L16),AF16+AB16-Datos!J16-L16," - ")</f>
        <v>1055</v>
      </c>
      <c r="G16" s="601">
        <f>IF(ISNUMBER(IF(D_I="SI",Datos!I16,Datos!I16+Datos!AC16)),IF(D_I="SI",Datos!I16,Datos!I16+Datos!AC16)," - ")</f>
        <v>1055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211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6505</v>
      </c>
      <c r="AC16" s="229">
        <f>IF(ISNUMBER(Datos!Q16),Datos!Q16," - ")</f>
        <v>114</v>
      </c>
      <c r="AD16" s="337"/>
      <c r="AE16" s="487"/>
      <c r="AF16" s="599">
        <f>IF(ISNUMBER(IF(D_I="SI",Datos!L16,Datos!L16+Datos!AF16)),IF(D_I="SI",Datos!L16,Datos!L16+Datos!AF16)," - ")</f>
        <v>1553</v>
      </c>
      <c r="AG16" s="337"/>
      <c r="AH16" s="337"/>
      <c r="AI16" s="337"/>
      <c r="AJ16" s="337"/>
      <c r="AK16" s="337"/>
      <c r="AL16" s="482"/>
      <c r="AM16" s="338">
        <f>IF(ISNUMBER(Datos!R16),Datos!R16," - ")</f>
        <v>475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693</v>
      </c>
      <c r="BD16" s="232">
        <f>IF(ISNUMBER(Datos!N16),Datos!N16," - ")</f>
        <v>4961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0.9288876195916036</v>
      </c>
      <c r="BH16" s="263">
        <f>IF(ISNUMBER(((IF(D_I="SI",Datos!L16/Datos!K16,(Datos!L16+Datos!AF16)/(Datos!K16+Datos!AE16)))*11)/factor_trimestre),((IF(D_I="SI",Datos!L16/Datos!K16,(Datos!L16+Datos!AF16)/(Datos!K16+Datos!AE16)))*11)/factor_trimestre," - ")</f>
        <v>2.6261337432744041</v>
      </c>
      <c r="BI16" s="246">
        <f>IF(ISNUMBER('Resol  Asuntos'!D16/NºAsuntos!G16),'Resol  Asuntos'!D16/NºAsuntos!G16," - ")</f>
        <v>0.10653343581860107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295</v>
      </c>
      <c r="AC17" s="229">
        <f>IF(ISNUMBER(Datos!Q17),Datos!Q17," - ")</f>
        <v>2</v>
      </c>
      <c r="AD17" s="337"/>
      <c r="AE17" s="487"/>
      <c r="AF17" s="335">
        <f>IF(ISNUMBER(Datos!L17),Datos!L17,"-")</f>
        <v>96</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17</v>
      </c>
      <c r="BD17" s="232">
        <f>IF(ISNUMBER(Datos!N17),Datos!N17," - ")</f>
        <v>234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1.0137457044673539</v>
      </c>
      <c r="BH17" s="263">
        <f>IF(ISNUMBER(((IF(D_I="SI",Datos!L17/Datos!K17,(Datos!L17+Datos!AF17)/(Datos!K17+Datos!AE17)))*11)/factor_trimestre),((IF(D_I="SI",Datos!L17/Datos!K17,(Datos!L17+Datos!AF17)/(Datos!K17+Datos!AE17)))*11)/factor_trimestre," - ")</f>
        <v>3.5796610169491521</v>
      </c>
      <c r="BI17" s="246">
        <f>IF(ISNUMBER('Resol  Asuntos'!D17/NºAsuntos!G17),'Resol  Asuntos'!D17/NºAsuntos!G17," - ")</f>
        <v>5.7627118644067797E-2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1055</v>
      </c>
      <c r="G18" s="901">
        <f>SUBTOTAL(9,G15:G17)</f>
        <v>1155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215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6800</v>
      </c>
      <c r="AC18" s="902">
        <f t="shared" si="4"/>
        <v>116</v>
      </c>
      <c r="AD18" s="902">
        <f t="shared" si="4"/>
        <v>0</v>
      </c>
      <c r="AE18" s="902">
        <f t="shared" si="4"/>
        <v>0</v>
      </c>
      <c r="AF18" s="902">
        <f t="shared" si="4"/>
        <v>1649</v>
      </c>
      <c r="AG18" s="902">
        <f t="shared" si="4"/>
        <v>0</v>
      </c>
      <c r="AH18" s="902">
        <f t="shared" si="4"/>
        <v>0</v>
      </c>
      <c r="AI18" s="902">
        <f t="shared" si="4"/>
        <v>0</v>
      </c>
      <c r="AJ18" s="902">
        <f t="shared" si="4"/>
        <v>0</v>
      </c>
      <c r="AK18" s="902">
        <f t="shared" si="4"/>
        <v>0</v>
      </c>
      <c r="AL18" s="902">
        <f t="shared" si="4"/>
        <v>0</v>
      </c>
      <c r="AM18" s="902">
        <f t="shared" si="4"/>
        <v>480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710</v>
      </c>
      <c r="BD18" s="902">
        <f t="shared" si="4"/>
        <v>5195</v>
      </c>
      <c r="BE18" s="902">
        <f t="shared" si="4"/>
        <v>0</v>
      </c>
      <c r="BF18" s="902">
        <f t="shared" si="4"/>
        <v>0</v>
      </c>
      <c r="BG18" s="902">
        <f>IF(ISNUMBER(Datos!K18/Datos!J18),Datos!K18/Datos!J18," - ")</f>
        <v>0.93227310117905127</v>
      </c>
      <c r="BH18" s="906">
        <f>IF(ISNUMBER(((Datos!L18/Datos!K18)*11)/factor_trimestre),((Datos!L18/Datos!K18)*11)/factor_trimestre," - ")</f>
        <v>2.6675</v>
      </c>
      <c r="BI18" s="902">
        <f>SUBTOTAL(9,BI15:BI17)</f>
        <v>0.16416055446266886</v>
      </c>
      <c r="BJ18" s="902">
        <f>SUBTOTAL(9,BJ15:BJ17)</f>
        <v>0</v>
      </c>
      <c r="BK18" s="902">
        <f>SUBTOTAL(9,BK15:BK17)</f>
        <v>0</v>
      </c>
      <c r="BL18" s="902">
        <f>IF(ISNUMBER((I18-AB18+L18)/(F18)),(I18-AB18+L18)/(F18)," - ")</f>
        <v>-6.4454976303317535</v>
      </c>
      <c r="BM18" s="908">
        <f>IF(ISNUMBER((Datos!P18-Datos!Q18)/(Datos!R18-Datos!P18+Datos!Q18)),(Datos!P18-Datos!Q18)/(Datos!R18-Datos!P18+Datos!Q18)," - ")</f>
        <v>0.25984251968503935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1103</v>
      </c>
      <c r="G19" s="823">
        <f t="shared" si="6"/>
        <v>1203</v>
      </c>
      <c r="H19" s="825">
        <f t="shared" si="6"/>
        <v>0</v>
      </c>
      <c r="I19" s="823">
        <f t="shared" si="6"/>
        <v>0</v>
      </c>
      <c r="J19" s="825">
        <f t="shared" si="6"/>
        <v>0</v>
      </c>
      <c r="K19" s="825">
        <f t="shared" si="6"/>
        <v>0</v>
      </c>
      <c r="L19" s="884">
        <f t="shared" si="6"/>
        <v>0</v>
      </c>
      <c r="M19" s="884">
        <f t="shared" si="6"/>
        <v>0</v>
      </c>
      <c r="N19" s="884">
        <f t="shared" si="6"/>
        <v>1644</v>
      </c>
      <c r="O19" s="884">
        <f t="shared" si="6"/>
        <v>0</v>
      </c>
      <c r="P19" s="884">
        <f t="shared" si="6"/>
        <v>0</v>
      </c>
      <c r="Q19" s="825">
        <f t="shared" si="6"/>
        <v>1445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6869</v>
      </c>
      <c r="AC19" s="824">
        <f t="shared" si="7"/>
        <v>1086</v>
      </c>
      <c r="AD19" s="824">
        <f t="shared" si="7"/>
        <v>0</v>
      </c>
      <c r="AE19" s="824">
        <f t="shared" si="7"/>
        <v>0</v>
      </c>
      <c r="AF19" s="831">
        <f t="shared" si="7"/>
        <v>1683</v>
      </c>
      <c r="AG19" s="831">
        <f t="shared" si="7"/>
        <v>0</v>
      </c>
      <c r="AH19" s="831">
        <f t="shared" si="7"/>
        <v>111</v>
      </c>
      <c r="AI19" s="831">
        <f t="shared" si="7"/>
        <v>0</v>
      </c>
      <c r="AJ19" s="824">
        <f t="shared" si="7"/>
        <v>0</v>
      </c>
      <c r="AK19" s="831">
        <f t="shared" si="7"/>
        <v>0</v>
      </c>
      <c r="AL19" s="831">
        <f t="shared" si="7"/>
        <v>0</v>
      </c>
      <c r="AM19" s="831">
        <f t="shared" si="7"/>
        <v>5548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2040</v>
      </c>
      <c r="BD19" s="823">
        <f t="shared" si="7"/>
        <v>8519</v>
      </c>
      <c r="BE19" s="823">
        <f t="shared" si="7"/>
        <v>0</v>
      </c>
      <c r="BF19" s="833">
        <f t="shared" si="7"/>
        <v>0</v>
      </c>
      <c r="BG19" s="918">
        <f>IF(ISNUMBER(Datos!K19/Datos!J19),Datos!K19/Datos!J19," - ")</f>
        <v>0.94149400650948634</v>
      </c>
      <c r="BH19" s="918">
        <f>IF(ISNUMBER(((Datos!L19/Datos!K19)*11)/factor_trimestre),((Datos!L19/Datos!K19)*11)/factor_trimestre," - ")</f>
        <v>4.6736087689713317</v>
      </c>
      <c r="BI19" s="816">
        <f>IF(ISNUMBER(Datos!J19/Datos!I19),Datos!J19/Datos!I19," - ")</f>
        <v>2.9268122676579926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-6.2275611967361737</v>
      </c>
      <c r="BM19" s="892">
        <f>IF(ISNUMBER((Datos!P19-Datos!Q19+R19)/(Datos!R19-Datos!P19+Datos!Q19-R19)),(Datos!P19-Datos!Q19+R19)/(Datos!R19-Datos!P19+Datos!Q19-R19)," - ")</f>
        <v>6.918481402967816E-2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481.2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3.1622776601683795</v>
      </c>
      <c r="F21" s="554">
        <f>IF(ISNUMBER(STDEV(F8:F18)),STDEV(F8:F18),"-")</f>
        <v>581.39172107395314</v>
      </c>
      <c r="G21" s="555">
        <f>IF(ISNUMBER(STDEV(G8:G18)),STDEV(G8:G18),"-")</f>
        <v>570.94018951200133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3567.3885126237656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577.49458871923639</v>
      </c>
      <c r="BD21" s="554"/>
      <c r="BE21" s="554">
        <f>IF(ISNUMBER(STDEV(BE8:BE18)),STDEV(BE8:BE18),"-")</f>
        <v>0</v>
      </c>
      <c r="BF21" s="559">
        <f>IF(ISNUMBER(STDEV(BF8:BF18)),STDEV(BF8:BF18),"-")</f>
        <v>0</v>
      </c>
      <c r="BG21" s="778">
        <f>IF(ISNUMBER(STDEV(BG8:BG18)),STDEV(BG8:BG18),"-")</f>
        <v>0.12454245654436909</v>
      </c>
      <c r="BH21" s="779">
        <f>IF(ISNUMBER(STDEV(BH8:BH18)),STDEV(BH8:BH18),"-")</f>
        <v>1.9128156781105667</v>
      </c>
      <c r="BI21" s="252">
        <f>IF(ISNUMBER(STDEV(BI8:BI18)),STDEV(BI8:BI18),"-")</f>
        <v>6.2070935822018933E-2</v>
      </c>
      <c r="BJ21" s="233" t="str">
        <f>IF(ISNUMBER(BL21/BM21),BL21/BM21," - ")</f>
        <v xml:space="preserve"> - </v>
      </c>
      <c r="BK21" s="578"/>
      <c r="BL21" s="562">
        <f>IF(ISNUMBER(STDEV(BL8:BL18)),STDEV(BL8:BL18),"-")</f>
        <v>3.5411890845737442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NegY6igHTC5R8NjyHLgdjaoAHGKrHVS38tpiLktfzaHOCf2NRrpWTIGIh8imTYmPF4zU5MXDS7gQj3j4mF55tA==" saltValue="TMLTYZ38StGyXb/XS/iM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SANT BOI DE LLOBREGAT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48</v>
      </c>
      <c r="G10" s="228">
        <f>IF(ISNUMBER(Datos!I10),Datos!I10," - ")</f>
        <v>48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69</v>
      </c>
      <c r="Z10" s="622">
        <f>IF(ISNUMBER(Datos!Q10),Datos!Q10," - ")</f>
        <v>1</v>
      </c>
      <c r="AA10" s="335">
        <f>IF(ISNUMBER(Datos!L10),Datos!L10,"-")</f>
        <v>34</v>
      </c>
      <c r="AB10" s="337"/>
      <c r="AC10" s="337"/>
      <c r="AD10" s="487"/>
      <c r="AE10" s="487">
        <f>IF(ISNUMBER(Datos!R10),Datos!R10," - ")</f>
        <v>25</v>
      </c>
      <c r="AF10" s="232" t="str">
        <f>IF(ISNUMBER(Datos!BV10),Datos!BV10," - ")</f>
        <v xml:space="preserve"> - </v>
      </c>
      <c r="AG10" s="228" t="str">
        <f>IF(ISNUMBER(Datos!DV10),Datos!DV10," - ")</f>
        <v xml:space="preserve"> - </v>
      </c>
      <c r="AH10" s="301"/>
      <c r="AI10" s="230"/>
      <c r="AJ10" s="228">
        <f>IF(ISNUMBER(Datos!M10),Datos!M10," - ")</f>
        <v>31</v>
      </c>
      <c r="AK10" s="232">
        <f>IF(ISNUMBER(Datos!N10),Datos!N10," - ")</f>
        <v>22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5.4202898550724639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0.19047619047619047</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6</v>
      </c>
      <c r="B12" s="510" t="s">
        <v>246</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1225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969</v>
      </c>
      <c r="AA12" s="335" t="str">
        <f>IF(ISNUMBER(IF(J_V="SI",Datos!L12,Datos!L12+Datos!AB12)-IF(Monitorios="SI",Datos!CD12,0)),
                          IF(J_V="SI",Datos!L12,Datos!L12+Datos!AB12)-IF(Monitorios="SI",Datos!CD12,0),
                          " - ")</f>
        <v xml:space="preserve"> - </v>
      </c>
      <c r="AB12" s="337"/>
      <c r="AC12" s="337"/>
      <c r="AD12" s="487"/>
      <c r="AE12" s="487">
        <f>IF(ISNUMBER(Datos!R12),Datos!R12," - ")</f>
        <v>5043</v>
      </c>
      <c r="AF12" s="232" t="str">
        <f>IF(ISNUMBER(Datos!BV12),Datos!BV12," - ")</f>
        <v xml:space="preserve"> - </v>
      </c>
      <c r="AG12" s="228" t="str">
        <f>IF(ISNUMBER(Datos!DV12),Datos!DV12," - ")</f>
        <v xml:space="preserve"> - </v>
      </c>
      <c r="AH12" s="301"/>
      <c r="AI12" s="230"/>
      <c r="AJ12" s="228">
        <f>IF(ISNUMBER(Datos!M12),Datos!M12," - ")</f>
        <v>1299</v>
      </c>
      <c r="AK12" s="232">
        <f>IF(ISNUMBER(Datos!N12),Datos!N12," - ")</f>
        <v>3302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5.7340249586528333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5.347817004386881E-2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48</v>
      </c>
      <c r="G13" s="901">
        <f>SUBTOTAL(9,G8:G12)</f>
        <v>48</v>
      </c>
      <c r="H13" s="911"/>
      <c r="I13" s="901">
        <f t="shared" ref="I13:N13" si="0">SUBTOTAL(9,I8:I12)</f>
        <v>0</v>
      </c>
      <c r="J13" s="870">
        <f t="shared" si="0"/>
        <v>0</v>
      </c>
      <c r="K13" s="911">
        <f t="shared" si="0"/>
        <v>0</v>
      </c>
      <c r="L13" s="911">
        <f t="shared" si="0"/>
        <v>0</v>
      </c>
      <c r="M13" s="911">
        <f t="shared" si="0"/>
        <v>0</v>
      </c>
      <c r="N13" s="911">
        <f t="shared" si="0"/>
        <v>1230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69</v>
      </c>
      <c r="Z13" s="910">
        <f t="shared" si="2"/>
        <v>970</v>
      </c>
      <c r="AA13" s="903">
        <f t="shared" si="2"/>
        <v>34</v>
      </c>
      <c r="AB13" s="903">
        <f t="shared" si="2"/>
        <v>0</v>
      </c>
      <c r="AC13" s="903">
        <f t="shared" si="2"/>
        <v>0</v>
      </c>
      <c r="AD13" s="903">
        <f t="shared" si="2"/>
        <v>0</v>
      </c>
      <c r="AE13" s="903">
        <f t="shared" si="2"/>
        <v>5068</v>
      </c>
      <c r="AF13" s="911">
        <f t="shared" si="2"/>
        <v>0</v>
      </c>
      <c r="AG13" s="911">
        <f t="shared" si="2"/>
        <v>0</v>
      </c>
      <c r="AH13" s="911">
        <f t="shared" si="2"/>
        <v>0</v>
      </c>
      <c r="AI13" s="911">
        <f t="shared" si="2"/>
        <v>0</v>
      </c>
      <c r="AJ13" s="911">
        <f t="shared" si="2"/>
        <v>1330</v>
      </c>
      <c r="AK13" s="911">
        <f t="shared" si="2"/>
        <v>3324</v>
      </c>
      <c r="AL13" s="911">
        <f t="shared" si="2"/>
        <v>0</v>
      </c>
      <c r="AM13" s="911">
        <f t="shared" si="2"/>
        <v>0</v>
      </c>
      <c r="AN13" s="911">
        <f t="shared" si="2"/>
        <v>0</v>
      </c>
      <c r="AO13" s="907">
        <f>IF(ISNUMBER(((NºAsuntos!I13/NºAsuntos!G13)*11)/factor_trimestre),((NºAsuntos!I13/NºAsuntos!G13)*11)/factor_trimestre," - ")</f>
        <v>5.730803571428571</v>
      </c>
      <c r="AP13" s="913" t="str">
        <f>IF(ISNUMBER(Datos!CI13/Datos!CJ13),Datos!CI13/Datos!CJ13," - ")</f>
        <v xml:space="preserve"> - </v>
      </c>
      <c r="AQ13" s="931">
        <f t="shared" ref="AQ13:AV13" si="3">SUBTOTAL(9,AQ9:AQ12)</f>
        <v>0</v>
      </c>
      <c r="AR13" s="931">
        <f t="shared" si="3"/>
        <v>0.24395436052005928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6</v>
      </c>
      <c r="B16" s="510" t="s">
        <v>396</v>
      </c>
      <c r="C16" s="163" t="str">
        <f>Datos!A16</f>
        <v xml:space="preserve">Jdos. 1ª Instª. e Instr.                        </v>
      </c>
      <c r="D16" s="505"/>
      <c r="E16" s="1171">
        <f>IF(ISNUMBER(Datos!AQ16),Datos!AQ16," - ")</f>
        <v>6</v>
      </c>
      <c r="F16" s="336">
        <f>IF(ISNUMBER(AA16+Y16-Datos!J16-K15),AA16+Y16-Datos!J16-K15," - ")</f>
        <v>1055</v>
      </c>
      <c r="G16" s="228">
        <f>IF(ISNUMBER(IF(D_I="SI",Datos!I16,Datos!I16+Datos!AC16)),IF(D_I="SI",Datos!I16,Datos!I16+Datos!AC16)," - ")</f>
        <v>1055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211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6505</v>
      </c>
      <c r="Z16" s="622">
        <f>IF(ISNUMBER(Datos!Q16),Datos!Q16," - ")</f>
        <v>114</v>
      </c>
      <c r="AA16" s="335">
        <f>IF(ISNUMBER(IF(D_I="SI",Datos!L16,Datos!L16+Datos!AF16)),IF(D_I="SI",Datos!L16,Datos!L16+Datos!AF16)," - ")</f>
        <v>1553</v>
      </c>
      <c r="AB16" s="337"/>
      <c r="AC16" s="337"/>
      <c r="AD16" s="487"/>
      <c r="AE16" s="487">
        <f>IF(ISNUMBER(Datos!R16),Datos!R16," - ")</f>
        <v>475</v>
      </c>
      <c r="AF16" s="232" t="str">
        <f>IF(ISNUMBER(Datos!BV16),Datos!BV16," - ")</f>
        <v xml:space="preserve"> - </v>
      </c>
      <c r="AG16" s="228"/>
      <c r="AH16" s="301"/>
      <c r="AI16" s="230"/>
      <c r="AJ16" s="228">
        <f>IF(ISNUMBER(Datos!M16),Datos!M16," - ")</f>
        <v>693</v>
      </c>
      <c r="AK16" s="232">
        <f>IF(ISNUMBER(Datos!N16),Datos!N16," - ")</f>
        <v>4961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2.6261337432744041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295</v>
      </c>
      <c r="Z17" s="622">
        <f>IF(ISNUMBER(Datos!Q17),Datos!Q17," - ")</f>
        <v>2</v>
      </c>
      <c r="AA17" s="335">
        <f>IF(ISNUMBER(Datos!L17),Datos!L17,"-")</f>
        <v>96</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17</v>
      </c>
      <c r="AK17" s="232">
        <f>IF(ISNUMBER(Datos!N17),Datos!N17," - ")</f>
        <v>234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3.5796610169491521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1055</v>
      </c>
      <c r="G18" s="901">
        <f>SUBTOTAL(9,G15:G17)</f>
        <v>1155</v>
      </c>
      <c r="H18" s="935">
        <f>SUBTOTAL(9,H15:H17)</f>
        <v>0</v>
      </c>
      <c r="I18" s="914">
        <f>SUBTOTAL(9,I15:I17)</f>
        <v>0</v>
      </c>
      <c r="J18" s="870">
        <f>SUBTOTAL(9,J14:J17)</f>
        <v>0</v>
      </c>
      <c r="K18" s="935">
        <f t="shared" ref="K18:S18" si="4">SUBTOTAL(9,K15:K17)</f>
        <v>0</v>
      </c>
      <c r="L18" s="935">
        <f t="shared" si="4"/>
        <v>0</v>
      </c>
      <c r="M18" s="935">
        <f t="shared" si="4"/>
        <v>0</v>
      </c>
      <c r="N18" s="935">
        <f t="shared" si="4"/>
        <v>215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6800</v>
      </c>
      <c r="Z18" s="935">
        <f t="shared" si="5"/>
        <v>116</v>
      </c>
      <c r="AA18" s="935">
        <f t="shared" si="5"/>
        <v>1649</v>
      </c>
      <c r="AB18" s="935">
        <f t="shared" si="5"/>
        <v>0</v>
      </c>
      <c r="AC18" s="935">
        <f t="shared" si="5"/>
        <v>0</v>
      </c>
      <c r="AD18" s="935">
        <f t="shared" si="5"/>
        <v>0</v>
      </c>
      <c r="AE18" s="935">
        <f t="shared" si="5"/>
        <v>480</v>
      </c>
      <c r="AF18" s="935">
        <f t="shared" si="5"/>
        <v>0</v>
      </c>
      <c r="AG18" s="935">
        <f t="shared" si="5"/>
        <v>0</v>
      </c>
      <c r="AH18" s="935">
        <f t="shared" si="5"/>
        <v>0</v>
      </c>
      <c r="AI18" s="935">
        <f t="shared" si="5"/>
        <v>0</v>
      </c>
      <c r="AJ18" s="935">
        <f t="shared" si="5"/>
        <v>710</v>
      </c>
      <c r="AK18" s="935">
        <f t="shared" si="5"/>
        <v>5195</v>
      </c>
      <c r="AL18" s="935">
        <f t="shared" si="5"/>
        <v>0</v>
      </c>
      <c r="AM18" s="935">
        <f t="shared" si="5"/>
        <v>0</v>
      </c>
      <c r="AN18" s="935">
        <f t="shared" si="5"/>
        <v>0</v>
      </c>
      <c r="AO18" s="937">
        <f>IF(ISNUMBER(((NºAsuntos!I18/NºAsuntos!G18)*11)/factor_trimestre),((NºAsuntos!I18/NºAsuntos!G18)*11)/factor_trimestre," - ")</f>
        <v>2.6675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1103</v>
      </c>
      <c r="G19" s="823">
        <f t="shared" si="7"/>
        <v>1203</v>
      </c>
      <c r="H19" s="824">
        <f t="shared" si="7"/>
        <v>0</v>
      </c>
      <c r="I19" s="823">
        <f t="shared" si="7"/>
        <v>0</v>
      </c>
      <c r="J19" s="825">
        <f t="shared" si="7"/>
        <v>0</v>
      </c>
      <c r="K19" s="823">
        <f t="shared" si="7"/>
        <v>0</v>
      </c>
      <c r="L19" s="826">
        <f t="shared" si="7"/>
        <v>0</v>
      </c>
      <c r="M19" s="823">
        <f t="shared" si="7"/>
        <v>0</v>
      </c>
      <c r="N19" s="824">
        <f t="shared" si="7"/>
        <v>1445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6869</v>
      </c>
      <c r="Z19" s="830">
        <f t="shared" si="8"/>
        <v>1086</v>
      </c>
      <c r="AA19" s="831">
        <f t="shared" si="8"/>
        <v>1683</v>
      </c>
      <c r="AB19" s="831">
        <f t="shared" si="8"/>
        <v>0</v>
      </c>
      <c r="AC19" s="831">
        <f t="shared" si="8"/>
        <v>0</v>
      </c>
      <c r="AD19" s="832">
        <f t="shared" si="8"/>
        <v>0</v>
      </c>
      <c r="AE19" s="832">
        <f t="shared" si="8"/>
        <v>5548</v>
      </c>
      <c r="AF19" s="833">
        <f t="shared" si="8"/>
        <v>0</v>
      </c>
      <c r="AG19" s="834">
        <f t="shared" si="8"/>
        <v>0</v>
      </c>
      <c r="AH19" s="835">
        <f t="shared" si="8"/>
        <v>0</v>
      </c>
      <c r="AI19" s="833">
        <f t="shared" si="8"/>
        <v>0</v>
      </c>
      <c r="AJ19" s="823">
        <f t="shared" si="8"/>
        <v>2040</v>
      </c>
      <c r="AK19" s="823">
        <f t="shared" si="8"/>
        <v>8519</v>
      </c>
      <c r="AL19" s="823">
        <f t="shared" si="8"/>
        <v>0</v>
      </c>
      <c r="AM19" s="836">
        <f t="shared" si="8"/>
        <v>0</v>
      </c>
      <c r="AN19" s="826">
        <f>IF(ISNUMBER(Datos!K19/Datos!J19),Datos!K19/Datos!J19," - ")</f>
        <v>0.94149400650948634</v>
      </c>
      <c r="AO19" s="826">
        <f>IF(ISNUMBER(FIND("06",Criterios!A8,1)),(IF(ISNUMBER(((Datos!R19/Datos!Q19)*11)/factor_trimestre),((Datos!R19/Datos!Q19)*11)/factor_trimestre," - ")),(IF(ISNUMBER(((Datos!L19/Datos!K19)*11)/factor_trimestre),((Datos!L19/Datos!K19)*11)/factor_trimestre," - ")))</f>
        <v>4.6736087689713317</v>
      </c>
      <c r="AP19" s="837" t="str">
        <f>IF(ISNUMBER(Datos!CI19/Datos!CJ19),Datos!CI19/Datos!CJ19," - ")</f>
        <v xml:space="preserve"> - </v>
      </c>
      <c r="AQ19" s="837">
        <f>IF(OR(ISNUMBER(FIND("01",Criterios!A8,1)),ISNUMBER(FIND("02",Criterios!A8,1)),ISNUMBER(FIND("03",Criterios!A8,1)),ISNUMBER(FIND("04",Criterios!A8,1))),(J19-Y19+K19)/(F19-K19),(I19-Y19+K19)/(F19-K19))</f>
        <v>-6.2275611967361737</v>
      </c>
      <c r="AR19" s="837">
        <f>IF(ISNUMBER((Datos!P19-Datos!Q19+O19)/(Datos!R19-Datos!P19+Datos!Q19-O19)),(Datos!P19-Datos!Q19+O19)/(Datos!R19-Datos!P19+Datos!Q19-O19)," - ")</f>
        <v>6.918481402967816E-2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481.2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581.39172107395314</v>
      </c>
      <c r="G21" s="555">
        <f>IF(ISNUMBER(STDEV(G8:G18)),STDEV(G8:G18),"-")</f>
        <v>570.94018951200133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577.49458871923639</v>
      </c>
      <c r="AK21" s="255"/>
      <c r="AL21" s="255">
        <f>IF(ISNUMBER(STDEV(AL8:AL18)),STDEV(AL8:AL18),"-")</f>
        <v>0</v>
      </c>
      <c r="AM21" s="257">
        <f>IF(ISNUMBER(STDEV(AM8:AM18)),STDEV(AM8:AM18),"-")</f>
        <v>0</v>
      </c>
      <c r="AN21" s="542">
        <f>IF(ISNUMBER(STDEV(AN8:AN18)),STDEV(AN8:AN18),"-")</f>
        <v>0</v>
      </c>
      <c r="AO21" s="543">
        <f>IF(ISNUMBER(STDEV(AO8:AO18)),STDEV(AO8:AO18),"-")</f>
        <v>1.5062642731555884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w0AOUnfaTT3e9Q7e7q4h44niCjlZ9tnja49w/P6KuUJzMnzMDzw6iN8sFlTYIc7A20iawtM4JL5hJiL7I4IDBg==" saltValue="yL+3W57qZX72VtOCFFqPs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MohRBEnOAK/h3S17hTXWuH2so0bpK7cVnJGcXyHJHsTVFTDxQ21JcwTCSaYIa4Y7av/J2Tk9zcCKhA6RBUoPeg==" saltValue="wm5vyZJ9X+hu+TxlQquN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d3zr13dApqNl1sw0f/luesmzmqkLZOoSIzFSicpoITNw0evB3zLYpOtc8y7JhFz0Wp6KwUZl+hWf3gm2yisxg==" saltValue="xIzCJrZK5nOoU5F0aUm9a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SANT BOI DE LLOBREGAT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0.19791666666666666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0.13994821710983751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e8FKKqc9fvsgI26itxKqnpZ/k5I2sc9l3gV1corL0E7xOm/lzF1AWtpa0GLqOm8ORy1Ck4UNkqETsSpN+X8yog==" saltValue="9I1YytxbJnQA4pBx1qy4t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gWsVbLLyb+aGPe7LkrxicigYYB8WT7O9VWHQQocZXQBhyzZtg9dculFrvI381cxfc+O5aJjtbaORbXBP86YKUA==" saltValue="aWFk//3aXapg/ePwC5NP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SANT BOI DE LLOBREGAT</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48</v>
      </c>
      <c r="D10" s="407">
        <f>IF(ISNUMBER(C10/Datos!BH10),C10/Datos!BH10," - ")</f>
        <v>48</v>
      </c>
      <c r="E10" s="406">
        <f>IF(ISNUMBER(Datos!J10),Datos!J10," - ")</f>
        <v>55</v>
      </c>
      <c r="F10" s="407">
        <f>IF(ISNUMBER(E10/B10),E10/B10," - ")</f>
        <v>55</v>
      </c>
      <c r="G10" s="406">
        <f>IF(ISNUMBER(Datos!K10),Datos!K10," - ")</f>
        <v>69</v>
      </c>
      <c r="H10" s="407">
        <f>IF(ISNUMBER(G10/B10),G10/B10," - ")</f>
        <v>69</v>
      </c>
      <c r="I10" s="406">
        <f>IF(ISNUMBER(Datos!L10),Datos!L10," - ")</f>
        <v>34</v>
      </c>
      <c r="J10" s="407">
        <f>IF(ISNUMBER(I10/B10),I10/B10," - ")</f>
        <v>34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3228</v>
      </c>
      <c r="D12" s="407">
        <f>IF(ISNUMBER(C12/Datos!BH12),C12/Datos!BH12," - ")</f>
        <v>538</v>
      </c>
      <c r="E12" s="406">
        <f>IF(ISNUMBER(IF(J_V="SI",Datos!J12,Datos!J12+Datos!Z12)),IF(J_V="SI",Datos!J12,Datos!J12+Datos!Z12)," - ")</f>
        <v>6892</v>
      </c>
      <c r="F12" s="407">
        <f>IF(ISNUMBER(E12/B12),E12/B12," - ")</f>
        <v>1148.6666666666667</v>
      </c>
      <c r="G12" s="406">
        <f>IF(ISNUMBER(IF(J_V="SI",Datos!K12,Datos!K12+Datos!AA12)),IF(J_V="SI",Datos!K12,Datos!K12+Datos!AA12)," - ")</f>
        <v>6651</v>
      </c>
      <c r="H12" s="407">
        <f>IF(ISNUMBER(G12/B12),G12/B12," - ")</f>
        <v>1108.5</v>
      </c>
      <c r="I12" s="406">
        <f>IF(ISNUMBER(IF(J_V="SI",Datos!L12,Datos!L12+Datos!AB12)),IF(J_V="SI",Datos!L12,Datos!L12+Datos!AB12)," - ")</f>
        <v>3467</v>
      </c>
      <c r="J12" s="407">
        <f>IF(ISNUMBER(I12/B12),I12/B12," - ")</f>
        <v>577.83333333333337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3276</v>
      </c>
      <c r="D13" s="853" t="str">
        <f>IF(ISNUMBER(C13/Datos!BI13),C13/Datos!BI13," - ")</f>
        <v xml:space="preserve"> - </v>
      </c>
      <c r="E13" s="852">
        <f>SUBTOTAL(9,E8:E12)</f>
        <v>6947</v>
      </c>
      <c r="F13" s="853">
        <f>IF(ISNUMBER(E13/B13),E13/B13," - ")</f>
        <v>1157.8333333333333</v>
      </c>
      <c r="G13" s="852">
        <f>SUBTOTAL(9,G8:G12)</f>
        <v>6720</v>
      </c>
      <c r="H13" s="853">
        <f>IF(ISNUMBER(G13/B13),G13/B13," - ")</f>
        <v>1120</v>
      </c>
      <c r="I13" s="852">
        <f>SUBTOTAL(9,I8:I12)</f>
        <v>3501</v>
      </c>
      <c r="J13" s="853">
        <f>IF(ISNUMBER(I13/B13),I13/B13," - ")</f>
        <v>583.5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1055</v>
      </c>
      <c r="D16" s="407">
        <f>IF(ISNUMBER(C16/Datos!BH16),C16/Datos!BH16," - ")</f>
        <v>175.83333333333334</v>
      </c>
      <c r="E16" s="406">
        <f>IF(ISNUMBER(IF(D_I="SI",Datos!J16,Datos!J16+Datos!AD16)),IF(D_I="SI",Datos!J16,Datos!J16+Datos!AD16)," - ")</f>
        <v>7003</v>
      </c>
      <c r="F16" s="407">
        <f>IF(ISNUMBER(E16/B16),E16/B16," - ")</f>
        <v>1167.1666666666667</v>
      </c>
      <c r="G16" s="406">
        <f>IF(ISNUMBER(IF(D_I="SI",Datos!K16,Datos!K16+Datos!AE16)),IF(D_I="SI",Datos!K16,Datos!K16+Datos!AE16)," - ")</f>
        <v>6505</v>
      </c>
      <c r="H16" s="407">
        <f>IF(ISNUMBER(G16/B16),G16/B16," - ")</f>
        <v>1084.1666666666667</v>
      </c>
      <c r="I16" s="406">
        <f>IF(ISNUMBER(IF(D_I="SI",Datos!L16,Datos!L16+Datos!AF16)),IF(D_I="SI",Datos!L16,Datos!L16+Datos!AF16)," - ")</f>
        <v>1553</v>
      </c>
      <c r="J16" s="407">
        <f>IF(ISNUMBER(I16/B16),I16/B16," - ")</f>
        <v>258.83333333333331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100</v>
      </c>
      <c r="D17" s="407">
        <f>IF(ISNUMBER(C17/Datos!BH17),C17/Datos!BH17," - ")</f>
        <v>100</v>
      </c>
      <c r="E17" s="406">
        <f>IF(ISNUMBER(IF(D_I="SI",Datos!J17,Datos!J17+Datos!AD17)),IF(D_I="SI",Datos!J17,Datos!J17+Datos!AD17)," - ")</f>
        <v>291</v>
      </c>
      <c r="F17" s="407">
        <f>IF(ISNUMBER(E17/B17),E17/B17," - ")</f>
        <v>291</v>
      </c>
      <c r="G17" s="406">
        <f>IF(ISNUMBER(IF(D_I="SI",Datos!K17,Datos!K17+Datos!AE17)),IF(D_I="SI",Datos!K17,Datos!K17+Datos!AE17)," - ")</f>
        <v>295</v>
      </c>
      <c r="H17" s="407">
        <f>IF(ISNUMBER(G17/B17),G17/B17," - ")</f>
        <v>295</v>
      </c>
      <c r="I17" s="406">
        <f>IF(ISNUMBER(IF(D_I="SI",Datos!L17,Datos!L17+Datos!AF17)),IF(D_I="SI",Datos!L17,Datos!L17+Datos!AF17)," - ")</f>
        <v>96</v>
      </c>
      <c r="J17" s="407">
        <f>IF(ISNUMBER(I17/B17),I17/B17," - ")</f>
        <v>96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1155</v>
      </c>
      <c r="D18" s="853" t="str">
        <f>IF(ISNUMBER(C18/Datos!BI18),C18/Datos!BI18," - ")</f>
        <v xml:space="preserve"> - </v>
      </c>
      <c r="E18" s="852">
        <f>SUBTOTAL(9,E14:E17)</f>
        <v>7294</v>
      </c>
      <c r="F18" s="853">
        <f>IF(ISNUMBER(E18/B18),E18/B18," - ")</f>
        <v>1215.6666666666667</v>
      </c>
      <c r="G18" s="852">
        <f>SUBTOTAL(9,G14:G17)</f>
        <v>6800</v>
      </c>
      <c r="H18" s="853">
        <f>IF(ISNUMBER(G18/B18),G18/B18," - ")</f>
        <v>1133.3333333333333</v>
      </c>
      <c r="I18" s="852">
        <f>SUBTOTAL(9,I14:I17)</f>
        <v>1649</v>
      </c>
      <c r="J18" s="853">
        <f>IF(ISNUMBER(I18/B18),I18/B18," - ")</f>
        <v>274.83333333333331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4431</v>
      </c>
      <c r="D19" s="798" t="str">
        <f>IF(ISNUMBER(C19/Datos!BI19),C19/Datos!BI19," - ")</f>
        <v xml:space="preserve"> - </v>
      </c>
      <c r="E19" s="797">
        <f>SUBTOTAL(9,E9:E18)</f>
        <v>14241</v>
      </c>
      <c r="F19" s="798">
        <f>IF(ISNUMBER(E19/B19),E19/B19," - ")</f>
        <v>2373.5</v>
      </c>
      <c r="G19" s="797">
        <f>SUBTOTAL(9,G9:G18)</f>
        <v>13520</v>
      </c>
      <c r="H19" s="798">
        <f>IF(ISNUMBER(G19/B19),G19/B19," - ")</f>
        <v>2253.3333333333335</v>
      </c>
      <c r="I19" s="797">
        <f>SUBTOTAL(9,I9:I18)</f>
        <v>5150</v>
      </c>
      <c r="J19" s="798">
        <f>IF(ISNUMBER(I19/B19),I19/B19," - ")</f>
        <v>858.33333333333337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MGpv/LyMsjTr2IK+axW32AbFiUASZG77fTStP3Bd9sKPQyRsRWj1c1q+GOON5RzhTq1PSZkx5r76stQaixgbnQ==" saltValue="MOuQeDOSgjBUQQ4AUxNQ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SANT BOI DE LLOBREGAT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48</v>
      </c>
      <c r="G10" s="687">
        <f>IF(ISNUMBER(Datos!I10),Datos!I10," - ")</f>
        <v>48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69</v>
      </c>
      <c r="AC10" s="686" t="str">
        <f>IF(ISNUMBER(IF(D_I="SI",DatosP!K17,DatosP!K17+DatosP!AE17)),IF(D_I="SI",DatosP!K17,DatosP!K17+DatosP!AE17)," - ")</f>
        <v xml:space="preserve"> - </v>
      </c>
      <c r="AD10" s="688"/>
      <c r="AE10" s="688"/>
      <c r="AF10" s="691">
        <f>IF(ISNUMBER(Datos!L10),Datos!L10,"-")</f>
        <v>34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31</v>
      </c>
      <c r="AM10" s="693">
        <f>IF(ISNUMBER(Datos!N10+DatosP!N17),Datos!N10+DatosP!N17," - ")</f>
        <v>22</v>
      </c>
      <c r="AN10" s="693">
        <f>IF(ISNUMBER(Datos!BW10+DatosP!BW17),Datos!BW10+DatosP!BW17," - ")</f>
        <v>0</v>
      </c>
      <c r="AO10" s="694">
        <f>IF(ISNUMBER(Datos!BX10+DatosP!BX17),Datos!BX10+DatosP!BX17," - ")</f>
        <v>0</v>
      </c>
      <c r="AP10" s="696">
        <f>IF(ISNUMBER(((Datos!L10/Datos!K10)*11)/factor_trimestre),((Datos!L10/Datos!K10)*11)/factor_trimestre," - ")</f>
        <v>5.4202898550724639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246</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1225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969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5043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1299</v>
      </c>
      <c r="AM12" s="693">
        <f>IF(ISNUMBER(Datos!N12+DatosP!N16),Datos!N12+DatosP!N16," - ")</f>
        <v>3302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5.7340249586528333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5.347817004386881E-2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48</v>
      </c>
      <c r="G13" s="941">
        <f t="shared" si="0"/>
        <v>48</v>
      </c>
      <c r="H13" s="941">
        <f t="shared" si="0"/>
        <v>0</v>
      </c>
      <c r="I13" s="943">
        <f t="shared" si="0"/>
        <v>0</v>
      </c>
      <c r="J13" s="942">
        <f t="shared" si="0"/>
        <v>0</v>
      </c>
      <c r="K13" s="942">
        <f t="shared" si="0"/>
        <v>0</v>
      </c>
      <c r="L13" s="944">
        <f t="shared" si="0"/>
        <v>0</v>
      </c>
      <c r="M13" s="944">
        <f t="shared" si="0"/>
        <v>0</v>
      </c>
      <c r="N13" s="942">
        <f t="shared" si="0"/>
        <v>1230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69</v>
      </c>
      <c r="AC13" s="942">
        <f t="shared" si="1"/>
        <v>0</v>
      </c>
      <c r="AD13" s="942">
        <f t="shared" si="1"/>
        <v>969</v>
      </c>
      <c r="AE13" s="942">
        <f t="shared" si="1"/>
        <v>0</v>
      </c>
      <c r="AF13" s="942">
        <f t="shared" si="1"/>
        <v>34</v>
      </c>
      <c r="AG13" s="942">
        <f t="shared" si="1"/>
        <v>0</v>
      </c>
      <c r="AH13" s="942">
        <f t="shared" si="1"/>
        <v>5043</v>
      </c>
      <c r="AI13" s="942">
        <f t="shared" si="1"/>
        <v>0</v>
      </c>
      <c r="AJ13" s="942">
        <f t="shared" si="1"/>
        <v>0</v>
      </c>
      <c r="AK13" s="942">
        <f t="shared" si="1"/>
        <v>0</v>
      </c>
      <c r="AL13" s="942">
        <f t="shared" si="1"/>
        <v>1330</v>
      </c>
      <c r="AM13" s="942">
        <f t="shared" si="1"/>
        <v>3324</v>
      </c>
      <c r="AN13" s="942">
        <f t="shared" si="1"/>
        <v>0</v>
      </c>
      <c r="AO13" s="942">
        <f t="shared" si="1"/>
        <v>0</v>
      </c>
      <c r="AP13" s="947">
        <f>IF(ISNUMBER(((Datos!L13/Datos!K13)*11)/factor_trimestre),((Datos!L13/Datos!K13)*11)/factor_trimestre," - ")</f>
        <v>7.3695652173913047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-1.4375</v>
      </c>
      <c r="AU13" s="942" t="str">
        <f>IF(ISNUMBER((DatosP!#REF!-DatosP!#REF!+DatosP!#REF!)/(DatosP!#REF!+DatosP!#REF!-DatosP!#REF!-DatosP!#REF!)),(DatosP!#REF!-DatosP!#REF!+DatosP!#REF!)/(DatosP!#REF!+DatosP!#REF!-DatosP!#REF!-DatosP!#REF!)," - ")</f>
        <v xml:space="preserve"> - </v>
      </c>
      <c r="AV13" s="948">
        <f>SUBTOTAL(9,AV9:AV12)</f>
        <v>5.347817004386881E-2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2.6675</v>
      </c>
      <c r="AQ18" s="947">
        <f>IF(ISNUMBER(((Datos!M18/Datos!L18)*11)/factor_trimestre),((Datos!M18/Datos!L18)*11)/factor_trimestre," - ")</f>
        <v>4.7362037598544573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0.25984251968503935</v>
      </c>
      <c r="AW18" s="949">
        <f>IF(ISNUMBER((Datos!Q18-Datos!R18)/(Datos!S18-Datos!Q18+Datos!R18)),(Datos!Q18-Datos!R18)/(Datos!S18-Datos!Q18+Datos!R18)," - ")</f>
        <v>-0.28549019607843135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48</v>
      </c>
      <c r="G19" s="954">
        <f t="shared" si="4"/>
        <v>48</v>
      </c>
      <c r="H19" s="954">
        <f t="shared" si="4"/>
        <v>0</v>
      </c>
      <c r="I19" s="955">
        <f t="shared" si="4"/>
        <v>0</v>
      </c>
      <c r="J19" s="956">
        <f t="shared" si="4"/>
        <v>0</v>
      </c>
      <c r="K19" s="956">
        <f t="shared" si="4"/>
        <v>0</v>
      </c>
      <c r="L19" s="956">
        <f t="shared" si="4"/>
        <v>0</v>
      </c>
      <c r="M19" s="956">
        <f t="shared" si="4"/>
        <v>0</v>
      </c>
      <c r="N19" s="955">
        <f t="shared" si="4"/>
        <v>1230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69</v>
      </c>
      <c r="AC19" s="960">
        <f t="shared" si="5"/>
        <v>0</v>
      </c>
      <c r="AD19" s="960">
        <f t="shared" si="5"/>
        <v>969</v>
      </c>
      <c r="AE19" s="960">
        <f t="shared" si="5"/>
        <v>0</v>
      </c>
      <c r="AF19" s="961">
        <f t="shared" si="5"/>
        <v>34</v>
      </c>
      <c r="AG19" s="961">
        <f t="shared" si="5"/>
        <v>0</v>
      </c>
      <c r="AH19" s="961">
        <f t="shared" si="5"/>
        <v>5043</v>
      </c>
      <c r="AI19" s="961">
        <f t="shared" si="5"/>
        <v>0</v>
      </c>
      <c r="AJ19" s="962">
        <f t="shared" si="5"/>
        <v>0</v>
      </c>
      <c r="AK19" s="962">
        <f t="shared" si="5"/>
        <v>0</v>
      </c>
      <c r="AL19" s="954">
        <f t="shared" si="5"/>
        <v>1330</v>
      </c>
      <c r="AM19" s="954">
        <f t="shared" si="5"/>
        <v>3324</v>
      </c>
      <c r="AN19" s="954">
        <f t="shared" si="5"/>
        <v>0</v>
      </c>
      <c r="AO19" s="954">
        <f t="shared" si="5"/>
        <v>0</v>
      </c>
      <c r="AP19" s="954">
        <f>IF(ISNUMBER(((Datos!L19/Datos!K19)*11)/factor_trimestre),((Datos!L19/Datos!K19)*11)/factor_trimestre," - ")</f>
        <v>4.6736087689713317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-1.4375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6.918481402967816E-2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3.0983866769659336</v>
      </c>
      <c r="F21" s="739">
        <f>IF(ISNUMBER(STDEV(F8:F18)),STDEV(F8:F18),"-")</f>
        <v>27.712812921102035</v>
      </c>
      <c r="G21" s="740">
        <f>IF(ISNUMBER(STDEV(G8:G18)),STDEV(G8:G18),"-")</f>
        <v>27.712812921102035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39.837168574084181</v>
      </c>
      <c r="AC21" s="741">
        <f>IF(ISNUMBER(STDEV(AC8:AC18)),STDEV(AC8:AC18),"-")</f>
        <v>0</v>
      </c>
      <c r="AD21" s="744"/>
      <c r="AE21" s="744"/>
      <c r="AF21" s="744"/>
      <c r="AG21" s="744"/>
      <c r="AH21" s="744"/>
      <c r="AI21" s="744"/>
      <c r="AJ21" s="745">
        <f>IF(ISNUMBER(STDEV(AJ8:AJ18)),STDEV(AJ8:AJ18),"-")</f>
        <v>0</v>
      </c>
      <c r="AK21" s="747"/>
      <c r="AL21" s="739">
        <f>IF(ISNUMBER(STDEV(AL8:AL18)),STDEV(AL8:AL18),"-")</f>
        <v>750.1915310994475</v>
      </c>
      <c r="AM21" s="739"/>
      <c r="AN21" s="739">
        <f>IF(ISNUMBER(STDEV(AN8:AN18)),STDEV(AN8:AN18),"-")</f>
        <v>0</v>
      </c>
      <c r="AO21" s="745">
        <f>IF(ISNUMBER(STDEV(AO8:AO18)),STDEV(AO8:AO18),"-")</f>
        <v>0</v>
      </c>
      <c r="AP21" s="782">
        <f>IF(ISNUMBER(STDEV(AP8:AP18)),STDEV(AP8:AP18),"-")</f>
        <v>1.9507250939959897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MYc4ymc3vodKob+AvvvvMHu+VrfI4uGGE01PJc0csKN4iiDa8vm6HIvbbxaZvFjK/M1GiTzxTOnTuinv+iY5Ag==" saltValue="p3NxkBMvqB7iU2TTOQWh8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BARCELONA</v>
      </c>
      <c r="C3" s="418"/>
      <c r="F3" s="378"/>
      <c r="G3" s="378"/>
      <c r="H3" s="378"/>
    </row>
    <row r="4" spans="1:15" ht="13.5" thickBot="1">
      <c r="A4" s="378"/>
      <c r="B4" s="394" t="str">
        <f>Criterios!A11 &amp;"  "&amp;Criterios!B11</f>
        <v>Resumenes por Partidos Judiciales  SANT BOI DE LLOBREGAT</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c+B/2F6ygGuucvfbqOTdIjXN+Fn6Zvg5SjVdIjD1pNFyzGy9epFbRb9dajHYdKNidwGPLSaPmWAeCHG0Gwwofg==" saltValue="OaAU4Y6AMtpYPjK84Cult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SANT BOI DE LLOBREGAT</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31</v>
      </c>
      <c r="E10" s="407">
        <f>IF(ISNUMBER(D10/B10),D10/B10," - ")</f>
        <v>31</v>
      </c>
      <c r="F10" s="406">
        <f>IF(ISNUMBER(Datos!N10),Datos!N10," - ")</f>
        <v>22</v>
      </c>
      <c r="G10" s="407">
        <f>IF(ISNUMBER(F10/B10),F10/B10," - ")</f>
        <v>22</v>
      </c>
      <c r="H10" s="406">
        <f>IF(ISNUMBER(Datos!O10),Datos!O10," - ")</f>
        <v>10</v>
      </c>
      <c r="I10" s="407">
        <f t="shared" ref="I10:I12" si="2">IF(ISNUMBER(H10/B10),H10/B10," - ")</f>
        <v>10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1299</v>
      </c>
      <c r="E12" s="407">
        <f t="shared" si="0"/>
        <v>216.5</v>
      </c>
      <c r="F12" s="406">
        <f>IF(ISNUMBER(Datos!N12),Datos!N12," - ")</f>
        <v>3302</v>
      </c>
      <c r="G12" s="407">
        <f t="shared" si="1"/>
        <v>550.33333333333337</v>
      </c>
      <c r="H12" s="406">
        <f>IF(ISNUMBER(Datos!O12),Datos!O12," - ")</f>
        <v>2119</v>
      </c>
      <c r="I12" s="407">
        <f t="shared" si="2"/>
        <v>353.16666666666669</v>
      </c>
    </row>
    <row r="13" spans="1:9" ht="14.25" thickTop="1" thickBot="1">
      <c r="A13" s="851" t="str">
        <f>Datos!A13</f>
        <v>TOTAL</v>
      </c>
      <c r="B13" s="852">
        <f>Datos!AO13</f>
        <v>7</v>
      </c>
      <c r="C13" s="854">
        <f>Datos!AR13</f>
        <v>6</v>
      </c>
      <c r="D13" s="852">
        <f>SUBTOTAL(9,D9:D12)</f>
        <v>1330</v>
      </c>
      <c r="E13" s="853">
        <f t="shared" si="0"/>
        <v>190</v>
      </c>
      <c r="F13" s="852">
        <f>SUBTOTAL(9,F9:F12)</f>
        <v>3324</v>
      </c>
      <c r="G13" s="853">
        <f t="shared" si="1"/>
        <v>474.85714285714283</v>
      </c>
      <c r="H13" s="852">
        <f>SUBTOTAL(9,H9:H12)</f>
        <v>2129</v>
      </c>
      <c r="I13" s="853">
        <f>IF(ISNUMBER(H13/B13),H13/B13," - ")</f>
        <v>304.14285714285717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693</v>
      </c>
      <c r="E16" s="407">
        <f t="shared" si="3"/>
        <v>115.5</v>
      </c>
      <c r="F16" s="406">
        <f>IF(ISNUMBER(Datos!N16),Datos!N16," - ")</f>
        <v>4961</v>
      </c>
      <c r="G16" s="407">
        <f t="shared" si="4"/>
        <v>826.83333333333337</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17</v>
      </c>
      <c r="E17" s="407">
        <f>IF(ISNUMBER(D17/B17),D17/B17," - ")</f>
        <v>17</v>
      </c>
      <c r="F17" s="406">
        <f>IF(ISNUMBER(Datos!N17),Datos!N17," - ")</f>
        <v>234</v>
      </c>
      <c r="G17" s="407">
        <f>IF(ISNUMBER(F17/B17),F17/B17," - ")</f>
        <v>234</v>
      </c>
      <c r="H17" s="406">
        <f>IF(ISNUMBER(Datos!O17),Datos!O17," - ")</f>
        <v>0</v>
      </c>
      <c r="I17" s="407">
        <f t="shared" si="5"/>
        <v>0</v>
      </c>
    </row>
    <row r="18" spans="1:9" ht="14.25" thickTop="1" thickBot="1">
      <c r="A18" s="851" t="str">
        <f>Datos!A18</f>
        <v>TOTAL</v>
      </c>
      <c r="B18" s="852">
        <f>Datos!AO18</f>
        <v>7</v>
      </c>
      <c r="C18" s="854">
        <f>Datos!AR18</f>
        <v>6</v>
      </c>
      <c r="D18" s="852">
        <f>SUBTOTAL(9,D15:D17)</f>
        <v>710</v>
      </c>
      <c r="E18" s="853">
        <f t="shared" si="3"/>
        <v>101.42857142857143</v>
      </c>
      <c r="F18" s="852">
        <f>SUBTOTAL(9,F15:F17)</f>
        <v>5195</v>
      </c>
      <c r="G18" s="853">
        <f t="shared" si="4"/>
        <v>742.14285714285711</v>
      </c>
      <c r="H18" s="852">
        <f>SUBTOTAL(9,H15:H17)</f>
        <v>0</v>
      </c>
      <c r="I18" s="853">
        <f>IF(ISNUMBER(H18/B18),H18/B18," - ")</f>
        <v>0</v>
      </c>
    </row>
    <row r="19" spans="1:9" ht="14.25" thickTop="1" thickBot="1">
      <c r="A19" s="796" t="str">
        <f>Datos!A19</f>
        <v>TOTAL JURISDICCIONES</v>
      </c>
      <c r="B19" s="797">
        <f>Datos!AP19</f>
        <v>6</v>
      </c>
      <c r="C19" s="797">
        <f>Datos!AR19</f>
        <v>6</v>
      </c>
      <c r="D19" s="797">
        <f>SUBTOTAL(9,D8:D18)</f>
        <v>2040</v>
      </c>
      <c r="E19" s="798">
        <f>IF(ISNUMBER(D19/B19),D19/B19," - ")</f>
        <v>340</v>
      </c>
      <c r="F19" s="797">
        <f>SUBTOTAL(9,F8:F18)</f>
        <v>8519</v>
      </c>
      <c r="G19" s="798">
        <f>IF(ISNUMBER(F19/B19),F19/B19," - ")</f>
        <v>1419.8333333333333</v>
      </c>
      <c r="H19" s="797">
        <f>SUBTOTAL(9,H8:H18)</f>
        <v>2129</v>
      </c>
      <c r="I19" s="798">
        <f>IF(ISNUMBER(H19/B19),H19/B19," - ")</f>
        <v>354.83333333333331</v>
      </c>
    </row>
    <row r="22" spans="1:9">
      <c r="A22" s="394" t="str">
        <f>Criterios!A4</f>
        <v>Fecha Informe: 03 may. 2024</v>
      </c>
    </row>
    <row r="27" spans="1:9">
      <c r="A27" s="417"/>
    </row>
  </sheetData>
  <sheetProtection algorithmName="SHA-512" hashValue="wjp2/J1IRx82GJfQ3pCVRSmD+Neb7Zz5hGhHhY369pl2Mv7YZkGmq7obQ3iZdKeMydYTXiU+UmO1o8IzORDq8g==" saltValue="zBQ8d4zRGp1rdbElrHdU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SANT BOI DE LLOBREGAT</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5</v>
      </c>
      <c r="C10" s="437">
        <f>IF(ISNUMBER(Datos!Q10),Datos!Q10," - ")</f>
        <v>1</v>
      </c>
      <c r="D10" s="411">
        <f>IF(ISNUMBER(Datos!R10),Datos!R10," - ")</f>
        <v>25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1225</v>
      </c>
      <c r="C12" s="437">
        <f>IF(ISNUMBER(Datos!Q12),Datos!Q12," - ")</f>
        <v>969</v>
      </c>
      <c r="D12" s="411">
        <f>IF(ISNUMBER(Datos!R12),Datos!R12," - ")</f>
        <v>5043</v>
      </c>
    </row>
    <row r="13" spans="1:4" ht="14.25" thickTop="1" thickBot="1">
      <c r="A13" s="851" t="str">
        <f>Datos!A13</f>
        <v>TOTAL</v>
      </c>
      <c r="B13" s="852">
        <f>SUBTOTAL(9,B9:B12)</f>
        <v>1230</v>
      </c>
      <c r="C13" s="856">
        <f>SUBTOTAL(9,C9:C12)</f>
        <v>970</v>
      </c>
      <c r="D13" s="854">
        <f>SUBTOTAL(9,D9:D12)</f>
        <v>5068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211</v>
      </c>
      <c r="C16" s="437">
        <f>IF(ISNUMBER(Datos!Q16),Datos!Q16," - ")</f>
        <v>114</v>
      </c>
      <c r="D16" s="411">
        <f>IF(ISNUMBER(Datos!R16),Datos!R16," - ")</f>
        <v>475</v>
      </c>
    </row>
    <row r="17" spans="1:4" ht="13.5" thickBot="1">
      <c r="A17" s="405" t="str">
        <f>Datos!A17</f>
        <v>Jdos. Violencia contra la mujer</v>
      </c>
      <c r="B17" s="436">
        <f>IF(ISNUMBER(Datos!P17),Datos!P17," - ")</f>
        <v>4</v>
      </c>
      <c r="C17" s="437">
        <f>IF(ISNUMBER(Datos!Q17),Datos!Q17," - ")</f>
        <v>2</v>
      </c>
      <c r="D17" s="411">
        <f>IF(ISNUMBER(Datos!R17),Datos!R17," - ")</f>
        <v>5</v>
      </c>
    </row>
    <row r="18" spans="1:4" ht="14.25" thickTop="1" thickBot="1">
      <c r="A18" s="851" t="str">
        <f>Datos!A18</f>
        <v>TOTAL</v>
      </c>
      <c r="B18" s="852">
        <f>SUBTOTAL(9,B15:B17)</f>
        <v>215</v>
      </c>
      <c r="C18" s="856">
        <f>SUBTOTAL(9,C15:C17)</f>
        <v>116</v>
      </c>
      <c r="D18" s="854">
        <f>SUBTOTAL(9,D15:D17)</f>
        <v>480</v>
      </c>
    </row>
    <row r="19" spans="1:4" ht="16.5" customHeight="1" thickTop="1" thickBot="1">
      <c r="A19" s="796" t="str">
        <f>Datos!A19</f>
        <v>TOTAL JURISDICCIONES</v>
      </c>
      <c r="B19" s="801">
        <f>SUBTOTAL(9,B8:B18)</f>
        <v>1445</v>
      </c>
      <c r="C19" s="802">
        <f>SUBTOTAL(9,C8:C18)</f>
        <v>1086</v>
      </c>
      <c r="D19" s="803">
        <f>SUBTOTAL(9,D8:D18)</f>
        <v>5548</v>
      </c>
    </row>
    <row r="20" spans="1:4" ht="7.5" customHeight="1"/>
    <row r="21" spans="1:4" ht="6" customHeight="1"/>
    <row r="22" spans="1:4">
      <c r="A22" s="394" t="str">
        <f>Criterios!A4</f>
        <v>Fecha Informe: 03 may. 2024</v>
      </c>
    </row>
    <row r="27" spans="1:4">
      <c r="A27" s="417"/>
    </row>
  </sheetData>
  <sheetProtection algorithmName="SHA-512" hashValue="paxjrVCnqMLtpIqNv+i50L3Zs5RBWCQg+JfHJqO9fvHRxgQufZu8Jhvb9WSUk7BLSV9JMFEEaa6vInN2Sqf5Lw==" saltValue="sYvyDRcWseAucF9OlTNP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SANT BOI DE LLOBREGAT</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5.7692307692307696E-2</v>
      </c>
      <c r="D10" s="459">
        <f>IF(ISNUMBER((Datos!K10-Datos!U10)/Datos!U10),(Datos!K10-Datos!U10)/Datos!U10," - ")</f>
        <v>0.91666666666666663</v>
      </c>
      <c r="E10" s="459">
        <f>IF(ISNUMBER((Datos!L10-Datos!V10)/Datos!V10),(Datos!L10-Datos!V10)/Datos!V10," - ")</f>
        <v>-0.29166666666666669</v>
      </c>
      <c r="F10" s="459">
        <f>IF(ISNUMBER((Datos!M10-Datos!W10)/Datos!W10),(Datos!M10-Datos!W10)/Datos!W10," - ")</f>
        <v>2.4444444444444446</v>
      </c>
      <c r="G10" s="460">
        <f>IF(ISNUMBER((Datos!N10-Datos!X10)/Datos!X10),(Datos!N10-Datos!X10)/Datos!X10," - ")</f>
        <v>1.2</v>
      </c>
      <c r="H10" s="458">
        <f>IF(ISNUMBER(((NºAsuntos!G10/NºAsuntos!E10)-Datos!BD10)/Datos!BD10),((NºAsuntos!G10/NºAsuntos!E10)-Datos!BD10)/Datos!BD10," - ")</f>
        <v>0.81212121212121224</v>
      </c>
      <c r="I10" s="459">
        <f>IF(ISNUMBER(((NºAsuntos!I10/NºAsuntos!G10)-Datos!BE10)/Datos!BE10),((NºAsuntos!I10/NºAsuntos!G10)-Datos!BE10)/Datos!BE10," - ")</f>
        <v>-0.63043478260869568</v>
      </c>
      <c r="J10" s="464">
        <f>IF(ISNUMBER((('Resol  Asuntos'!D10/NºAsuntos!G10)-Datos!BF10)/Datos!BF10),(('Resol  Asuntos'!D10/NºAsuntos!G10)-Datos!BF10)/Datos!BF10," - ")</f>
        <v>0.79710144927536231</v>
      </c>
      <c r="K10" s="465">
        <f>IF(ISNUMBER((((NºAsuntos!C10+NºAsuntos!E10)/NºAsuntos!G10)-Datos!BG10)/Datos!BG10),(((NºAsuntos!C10+NºAsuntos!E10)/NºAsuntos!G10)-Datos!BG10)/Datos!BG10," - ")</f>
        <v>-0.36024844720496901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0.20089285714285715</v>
      </c>
      <c r="C12" s="459">
        <f>IF(ISNUMBER(
   IF(J_V="SI",(Datos!J12-Datos!T12)/Datos!T12,(Datos!J12+Datos!Z12-(Datos!T12+Datos!AH12))/(Datos!T12+Datos!AH12))
     ),IF(J_V="SI",(Datos!J12-Datos!T12)/Datos!T12,(Datos!J12+Datos!Z12-(Datos!T12+Datos!AH12))/(Datos!T12+Datos!AH12))," - ")</f>
        <v>4.59857337987555E-2</v>
      </c>
      <c r="D12" s="459">
        <f>IF(ISNUMBER(
   IF(J_V="SI",(Datos!K12-Datos!U12)/Datos!U12,(Datos!K12+Datos!AA12-(Datos!U12+Datos!AI12))/(Datos!U12+Datos!AI12))
     ),IF(J_V="SI",(Datos!K12-Datos!U12)/Datos!U12,(Datos!K12+Datos!AA12-(Datos!U12+Datos!AI12))/(Datos!U12+Datos!AI12))," - ")</f>
        <v>8.48148752242701E-2</v>
      </c>
      <c r="E12" s="459">
        <f>IF(ISNUMBER(
   IF(J_V="SI",(Datos!L12-Datos!V12)/Datos!V12,(Datos!L12+Datos!AB12-(Datos!V12+Datos!AJ12))/(Datos!V12+Datos!AJ12))
     ),IF(J_V="SI",(Datos!L12-Datos!V12)/Datos!V12,(Datos!L12+Datos!AB12-(Datos!V12+Datos!AJ12))/(Datos!V12+Datos!AJ12))," - ")</f>
        <v>7.4039653035935557E-2</v>
      </c>
      <c r="F12" s="459">
        <f>IF(ISNUMBER((Datos!M12-Datos!W12)/Datos!W12),(Datos!M12-Datos!W12)/Datos!W12," - ")</f>
        <v>0.23479087452471484</v>
      </c>
      <c r="G12" s="460">
        <f>IF(ISNUMBER((Datos!N12-Datos!X12)/Datos!X12),(Datos!N12-Datos!X12)/Datos!X12," - ")</f>
        <v>5.9351940968880336E-2</v>
      </c>
      <c r="H12" s="458">
        <f>IF(ISNUMBER(((NºAsuntos!G12/NºAsuntos!E12)-Datos!BD12)/Datos!BD12),((NºAsuntos!G12/NºAsuntos!E12)-Datos!BD12)/Datos!BD12," - ")</f>
        <v>3.7122056420881532E-2</v>
      </c>
      <c r="I12" s="459">
        <f>IF(ISNUMBER(((NºAsuntos!I12/NºAsuntos!G12)-Datos!BE12)/Datos!BE12),((NºAsuntos!I12/NºAsuntos!G12)-Datos!BE12)/Datos!BE12," - ")</f>
        <v>-9.9327751070033728E-3</v>
      </c>
      <c r="J12" s="464">
        <f>IF(ISNUMBER((('Resol  Asuntos'!D12/NºAsuntos!G12)-Datos!BF12)/Datos!BF12),(('Resol  Asuntos'!D12/NºAsuntos!G12)-Datos!BF12)/Datos!BF12," - ")</f>
        <v>-0.61583595366339006</v>
      </c>
      <c r="K12" s="465">
        <f>IF(ISNUMBER((((NºAsuntos!C12+NºAsuntos!E12)/NºAsuntos!G12)-Datos!BG12)/Datos!BG12),(((NºAsuntos!C12+NºAsuntos!E12)/NºAsuntos!G12)-Datos!BG12)/Datos!BG12," - ")</f>
        <v>5.5816141523179538E-3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0.20441176470588235</v>
      </c>
      <c r="C13" s="858">
        <f>IF(ISNUMBER(
   IF(J_V="SI",(Datos!J13-Datos!T13)/Datos!T13,(Datos!J13+Datos!Z13-(Datos!T13+Datos!AH13))/(Datos!T13+Datos!AH13))
     ),IF(J_V="SI",(Datos!J13-Datos!T13)/Datos!T13,(Datos!J13+Datos!Z13-(Datos!T13+Datos!AH13))/(Datos!T13+Datos!AH13))," - ")</f>
        <v>4.6077397982231594E-2</v>
      </c>
      <c r="D13" s="858">
        <f>IF(ISNUMBER(
   IF(J_V="SI",(Datos!K13-Datos!U13)/Datos!U13,(Datos!K13+Datos!AA13-(Datos!U13+Datos!AI13))/(Datos!U13+Datos!AI13))
     ),IF(J_V="SI",(Datos!K13-Datos!U13)/Datos!U13,(Datos!K13+Datos!AA13-(Datos!U13+Datos!AI13))/(Datos!U13+Datos!AI13))," - ")</f>
        <v>8.9670828603859248E-2</v>
      </c>
      <c r="E13" s="858">
        <f>IF(ISNUMBER(
   IF(J_V="SI",(Datos!L13-Datos!V13)/Datos!V13,(Datos!L13+Datos!AB13-(Datos!V13+Datos!AJ13))/(Datos!V13+Datos!AJ13))
     ),IF(J_V="SI",(Datos!L13-Datos!V13)/Datos!V13,(Datos!L13+Datos!AB13-(Datos!V13+Datos!AJ13))/(Datos!V13+Datos!AJ13))," - ")</f>
        <v>6.8681318681318687E-2</v>
      </c>
      <c r="F13" s="859">
        <f>IF(ISNUMBER((Datos!M13-Datos!W13)/Datos!W13),(Datos!M13-Datos!W13)/Datos!W13," - ")</f>
        <v>0.25353440150801132</v>
      </c>
      <c r="G13" s="860">
        <f>IF(ISNUMBER((Datos!N13-Datos!X13)/Datos!X13),(Datos!N13-Datos!X13)/Datos!X13," - ")</f>
        <v>6.2999680204669006E-2</v>
      </c>
      <c r="H13" s="860">
        <f>IF(ISNUMBER(((NºAsuntos!G13/NºAsuntos!E13)-Datos!BD13)/Datos!BD13),((NºAsuntos!G13/NºAsuntos!E13)-Datos!BD13)/Datos!BD13," - ")</f>
        <v>4.1673236326216896E-2</v>
      </c>
      <c r="I13" s="860">
        <f>IF(ISNUMBER(((NºAsuntos!I13/NºAsuntos!G13)-Datos!BE13)/Datos!BE13),((NºAsuntos!I13/NºAsuntos!G13)-Datos!BE13)/Datos!BE13," - ")</f>
        <v>-1.9262248168498176E-2</v>
      </c>
      <c r="J13" s="860">
        <f>IF(ISNUMBER((('Resol  Asuntos'!D13/NºAsuntos!G13)-Datos!BF13)/Datos!BF13),(('Resol  Asuntos'!D13/NºAsuntos!G13)-Datos!BF13)/Datos!BF13," - ")</f>
        <v>-0.60954827788441035</v>
      </c>
      <c r="K13" s="860">
        <f>IF(ISNUMBER((((NºAsuntos!C13+NºAsuntos!E13)/NºAsuntos!G13)-Datos!BG13)/Datos!BG13),(((NºAsuntos!C13+NºAsuntos!E13)/NºAsuntos!G13)-Datos!BG13)/Datos!BG13," - ")</f>
        <v>2.2147518071431757E-3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0.24557260920897284</v>
      </c>
      <c r="C16" s="459">
        <f>IF(ISNUMBER(
   IF(D_I="SI",(Datos!J16-Datos!T16)/Datos!T16,(Datos!J16+Datos!AD16-(Datos!T16+Datos!AL16))/(Datos!T16+Datos!AL16))
     ),IF(D_I="SI",(Datos!J16-Datos!T16)/Datos!T16,(Datos!J16+Datos!AD16-(Datos!T16+Datos!AL16))/(Datos!T16+Datos!AL16))," - ")</f>
        <v>5.2133413461538464E-2</v>
      </c>
      <c r="D16" s="459">
        <f>IF(ISNUMBER(
   IF(D_I="SI",(Datos!K16-Datos!U16)/Datos!U16,(Datos!K16+Datos!AE16-(Datos!U16+Datos!AM16))/(Datos!U16+Datos!AM16))
     ),IF(D_I="SI",(Datos!K16-Datos!U16)/Datos!U16,(Datos!K16+Datos!AE16-(Datos!U16+Datos!AM16))/(Datos!U16+Datos!AM16))," - ")</f>
        <v>1.3555624805235277E-2</v>
      </c>
      <c r="E16" s="459">
        <f>IF(ISNUMBER(
   IF(D_I="SI",(Datos!L16-Datos!V16)/Datos!V16,(Datos!L16+Datos!AF16-(Datos!V16+Datos!AN16))/(Datos!V16+Datos!AN16))
     ),IF(D_I="SI",(Datos!L16-Datos!V16)/Datos!V16,(Datos!L16+Datos!AF16-(Datos!V16+Datos!AN16))/(Datos!V16+Datos!AN16))," - ")</f>
        <v>0.47203791469194312</v>
      </c>
      <c r="F16" s="459">
        <f>IF(ISNUMBER((Datos!M16-Datos!W16)/Datos!W16),(Datos!M16-Datos!W16)/Datos!W16," - ")</f>
        <v>-7.476635514018691E-2</v>
      </c>
      <c r="G16" s="460">
        <f>IF(ISNUMBER((Datos!N16-Datos!X16)/Datos!X16),(Datos!N16-Datos!X16)/Datos!X16," - ")</f>
        <v>1.0181225819588679E-2</v>
      </c>
      <c r="H16" s="458">
        <f>IF(ISNUMBER(((NºAsuntos!G16/NºAsuntos!E16)-Datos!BD16)/Datos!BD16),((NºAsuntos!G16/NºAsuntos!E16)-Datos!BD16)/Datos!BD16," - ")</f>
        <v>-3.6666251791568447E-2</v>
      </c>
      <c r="I16" s="459">
        <f>IF(ISNUMBER(((NºAsuntos!I16/NºAsuntos!G16)-Datos!BE16)/Datos!BE16),((NºAsuntos!I16/NºAsuntos!G16)-Datos!BE16)/Datos!BE16," - ")</f>
        <v>0.45235039761612456</v>
      </c>
      <c r="J16" s="464">
        <f>IF(ISNUMBER((('Resol  Asuntos'!D16/NºAsuntos!G16)-Datos!BF16)/Datos!BF16),(('Resol  Asuntos'!D16/NºAsuntos!G16)-Datos!BF16)/Datos!BF16," - ")</f>
        <v>-8.7140732865445047E-2</v>
      </c>
      <c r="K16" s="465">
        <f>IF(ISNUMBER((((NºAsuntos!C16+NºAsuntos!E16)/NºAsuntos!G16)-Datos!BG16)/Datos!BG16),(((NºAsuntos!C16+NºAsuntos!E16)/NºAsuntos!G16)-Datos!BG16)/Datos!BG16," - ")</f>
        <v>5.9606779886047283E-2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0.5625</v>
      </c>
      <c r="C17" s="459">
        <f>IF(ISNUMBER(
   IF(D_I="SI",(Datos!J17-Datos!T17)/Datos!T17,(Datos!J17+Datos!AD17-(Datos!T17+Datos!AL17))/(Datos!T17+Datos!AL17))
     ),IF(D_I="SI",(Datos!J17-Datos!T17)/Datos!T17,(Datos!J17+Datos!AD17-(Datos!T17+Datos!AL17))/(Datos!T17+Datos!AL17))," - ")</f>
        <v>-0.224</v>
      </c>
      <c r="D17" s="459">
        <f>IF(ISNUMBER(
   IF(D_I="SI",(Datos!K17-Datos!U17)/Datos!U17,(Datos!K17+Datos!AE17-(Datos!U17+Datos!AM17))/(Datos!U17+Datos!AM17))
     ),IF(D_I="SI",(Datos!K17-Datos!U17)/Datos!U17,(Datos!K17+Datos!AE17-(Datos!U17+Datos!AM17))/(Datos!U17+Datos!AM17))," - ")</f>
        <v>-0.12979351032448377</v>
      </c>
      <c r="E17" s="459">
        <f>IF(ISNUMBER(
   IF(D_I="SI",(Datos!L17-Datos!V17)/Datos!V17,(Datos!L17+Datos!AF17-(Datos!V17+Datos!AN17))/(Datos!V17+Datos!AN17))
     ),IF(D_I="SI",(Datos!L17-Datos!V17)/Datos!V17,(Datos!L17+Datos!AF17-(Datos!V17+Datos!AN17))/(Datos!V17+Datos!AN17))," - ")</f>
        <v>-0.04</v>
      </c>
      <c r="F17" s="459">
        <f>IF(ISNUMBER((Datos!M17-Datos!W17)/Datos!W17),(Datos!M17-Datos!W17)/Datos!W17," - ")</f>
        <v>-0.22727272727272727</v>
      </c>
      <c r="G17" s="460">
        <f>IF(ISNUMBER((Datos!N17-Datos!X17)/Datos!X17),(Datos!N17-Datos!X17)/Datos!X17," - ")</f>
        <v>-0.12359550561797752</v>
      </c>
      <c r="H17" s="458">
        <f>IF(ISNUMBER(((NºAsuntos!G17/NºAsuntos!E17)-Datos!BD17)/Datos!BD17),((NºAsuntos!G17/NºAsuntos!E17)-Datos!BD17)/Datos!BD17," - ")</f>
        <v>0.12140011556123216</v>
      </c>
      <c r="I17" s="459">
        <f>IF(ISNUMBER(((NºAsuntos!I17/NºAsuntos!G17)-Datos!BE17)/Datos!BE17),((NºAsuntos!I17/NºAsuntos!G17)-Datos!BE17)/Datos!BE17," - ")</f>
        <v>0.10318644067796603</v>
      </c>
      <c r="J17" s="464">
        <f>IF(ISNUMBER((('Resol  Asuntos'!D17/NºAsuntos!G17)-Datos!BF17)/Datos!BF17),(('Resol  Asuntos'!D17/NºAsuntos!G17)-Datos!BF17)/Datos!BF17," - ")</f>
        <v>-0.11201848998459166</v>
      </c>
      <c r="K17" s="465">
        <f>IF(ISNUMBER((((NºAsuntos!C17+NºAsuntos!E17)/NºAsuntos!G17)-Datos!BG17)/Datos!BG17),(((NºAsuntos!C17+NºAsuntos!E17)/NºAsuntos!G17)-Datos!BG17)/Datos!BG17," - ")</f>
        <v>2.3504883981313493E-2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0.26783754116355651</v>
      </c>
      <c r="C18" s="858">
        <f>IF(ISNUMBER(
   IF(Criterios!B14="SI",(Datos!J18-Datos!T18)/Datos!T18,(Datos!J18+Datos!AD18-(Datos!T18+Datos!AL18))/(Datos!T18+Datos!AL18))
     ),IF(Criterios!B14="SI",(Datos!J18-Datos!T18)/Datos!T18,(Datos!J18+Datos!AD18-(Datos!T18+Datos!AL18))/(Datos!T18+Datos!AL18))," - ")</f>
        <v>3.7405774427535204E-2</v>
      </c>
      <c r="D18" s="858">
        <f>IF(ISNUMBER(
   IF(Criterios!B14="SI",(Datos!K18-Datos!U18)/Datos!U18,(Datos!K18+Datos!AE18-(Datos!U18+Datos!AM18))/(Datos!U18+Datos!AM18))
     ),IF(Criterios!B14="SI",(Datos!K18-Datos!U18)/Datos!U18,(Datos!K18+Datos!AE18-(Datos!U18+Datos!AM18))/(Datos!U18+Datos!AM18))," - ")</f>
        <v>6.3637709042474472E-3</v>
      </c>
      <c r="E18" s="858">
        <f>IF(ISNUMBER(
   IF(Criterios!B14="SI",(Datos!L18-Datos!V18)/Datos!V18,(Datos!L18+Datos!AF18-(Datos!V18+Datos!AN18))/(Datos!V18+Datos!AN18))
     ),IF(Criterios!B14="SI",(Datos!L18-Datos!V18)/Datos!V18,(Datos!L18+Datos!AF18-(Datos!V18+Datos!AN18))/(Datos!V18+Datos!AN18))," - ")</f>
        <v>0.4277056277056277</v>
      </c>
      <c r="F18" s="859">
        <f>IF(ISNUMBER((Datos!M18-Datos!W18)/Datos!W18),(Datos!M18-Datos!W18)/Datos!W18," - ")</f>
        <v>-7.9118028534370943E-2</v>
      </c>
      <c r="G18" s="860">
        <f>IF(ISNUMBER((Datos!N18-Datos!X18)/Datos!X18),(Datos!N18-Datos!X18)/Datos!X18," - ")</f>
        <v>3.28312089609888E-3</v>
      </c>
      <c r="H18" s="860">
        <f>IF(ISNUMBER(((NºAsuntos!G18/NºAsuntos!E18)-Datos!BD18)/Datos!BD18),((NºAsuntos!G18/NºAsuntos!E18)-Datos!BD18)/Datos!BD18," - ")</f>
        <v>-2.9922720972338366E-2</v>
      </c>
      <c r="I18" s="860">
        <f>IF(ISNUMBER(((NºAsuntos!I18/NºAsuntos!G18)-Datos!BE18)/Datos!BE18),((NºAsuntos!I18/NºAsuntos!G18)-Datos!BE18)/Datos!BE18," - ")</f>
        <v>0.41867748917748926</v>
      </c>
      <c r="J18" s="860">
        <f>IF(ISNUMBER((('Resol  Asuntos'!D18/NºAsuntos!G18)-Datos!BF18)/Datos!BF18),(('Resol  Asuntos'!D18/NºAsuntos!G18)-Datos!BF18)/Datos!BF18," - ")</f>
        <v>-8.4941252765697695E-2</v>
      </c>
      <c r="K18" s="860">
        <f>IF(ISNUMBER((((NºAsuntos!C18+NºAsuntos!E18)/NºAsuntos!G18)-Datos!BG18)/Datos!BG18),(((NºAsuntos!C18+NºAsuntos!E18)/NºAsuntos!G18)-Datos!BG18)/Datos!BG18," - ")</f>
        <v>5.7110614454797176E-2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0.22032497934453318</v>
      </c>
      <c r="C19" s="805">
        <f>IF(ISNUMBER(
   IF(J_V="SI",(Datos!J19-Datos!T19)/Datos!T19,(Datos!J19+Datos!Z19-(Datos!T19+Datos!AH19))/(Datos!T19+Datos!AH19))
     ),IF(J_V="SI",(Datos!J19-Datos!T19)/Datos!T19,(Datos!J19+Datos!Z19-(Datos!T19+Datos!AH19))/(Datos!T19+Datos!AH19))," - ")</f>
        <v>4.1617905207723814E-2</v>
      </c>
      <c r="D19" s="805">
        <f>IF(ISNUMBER(
   IF(J_V="SI",(Datos!K19-Datos!U19)/Datos!U19,(Datos!K19+Datos!AA19-(Datos!U19+Datos!AI19))/(Datos!U19+Datos!AI19))
     ),IF(J_V="SI",(Datos!K19-Datos!U19)/Datos!U19,(Datos!K19+Datos!AA19-(Datos!U19+Datos!AI19))/(Datos!U19+Datos!AI19))," - ")</f>
        <v>4.6115753636645003E-2</v>
      </c>
      <c r="E19" s="805">
        <f>IF(ISNUMBER(
   IF(J_V="SI",(Datos!L19-Datos!V19)/Datos!V19,(Datos!L19+Datos!AB19-(Datos!V19+Datos!AJ19))/(Datos!V19+Datos!AJ19))
     ),IF(J_V="SI",(Datos!L19-Datos!V19)/Datos!V19,(Datos!L19+Datos!AB19-(Datos!V19+Datos!AJ19))/(Datos!V19+Datos!AJ19))," - ")</f>
        <v>0.16226585420898218</v>
      </c>
      <c r="F19" s="806">
        <f>IF(ISNUMBER((Datos!M19-Datos!W19)/Datos!W19),(Datos!M19-Datos!W19)/Datos!W19," - ")</f>
        <v>0.11353711790393013</v>
      </c>
      <c r="G19" s="807">
        <f>IF(ISNUMBER((Datos!N19-Datos!X19)/Datos!X19),(Datos!N19-Datos!X19)/Datos!X19," - ")</f>
        <v>2.576760987357014E-2</v>
      </c>
      <c r="H19" s="808">
        <f>IF(ISNUMBER((Tasas!B19-Datos!BD19)/Datos!BD19),(Tasas!B19-Datos!BD19)/Datos!BD19," - ")</f>
        <v>4.3181366280605456E-3</v>
      </c>
      <c r="I19" s="809">
        <f>IF(ISNUMBER((Tasas!C19-Datos!BE19)/Datos!BE19),(Tasas!C19-Datos!BE19)/Datos!BE19," - ")</f>
        <v>0.11102987424533163</v>
      </c>
      <c r="J19" s="810">
        <f>IF(ISNUMBER((Tasas!D19-Datos!BF19)/Datos!BF19),(Tasas!D19-Datos!BF19)/Datos!BF19," - ")</f>
        <v>-0.49959686786831931</v>
      </c>
      <c r="K19" s="810">
        <f>IF(ISNUMBER((Tasas!E19-Datos!BG19)/Datos!BG19),(Tasas!E19-Datos!BG19)/Datos!BG19," - ")</f>
        <v>3.1548587360607616E-2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IQ80euCk6v7D2LBIE1Ito3xV/LWaG+NcxZwc2aSFOiHy7NtaCJq/Y5dVBmZSu/Jt71+x7ypv82m6YrvjGmeBw==" saltValue="EXWwzI6Vz7JbfIOB+ohf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SANT BOI DE LLOBREGAT</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1.2545454545454546</v>
      </c>
      <c r="C10" s="446">
        <f>IF(ISNUMBER(NºAsuntos!I10/NºAsuntos!G10),NºAsuntos!I10/NºAsuntos!G10," - ")</f>
        <v>0.49275362318840582</v>
      </c>
      <c r="D10" s="447">
        <f>IF(ISNUMBER('Resol  Asuntos'!D10/NºAsuntos!G10),'Resol  Asuntos'!D10/NºAsuntos!G10," - ")</f>
        <v>0.44927536231884058</v>
      </c>
      <c r="E10" s="448">
        <f>IF(ISNUMBER((NºAsuntos!C10+NºAsuntos!E10)/NºAsuntos!G10),(NºAsuntos!C10+NºAsuntos!E10)/NºAsuntos!G10," - ")</f>
        <v>1.4927536231884058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0.96503192106790481</v>
      </c>
      <c r="C12" s="446">
        <f>IF(ISNUMBER(NºAsuntos!I12/NºAsuntos!G12),NºAsuntos!I12/NºAsuntos!G12," - ")</f>
        <v>0.52127499624116669</v>
      </c>
      <c r="D12" s="447">
        <f>IF(ISNUMBER('Resol  Asuntos'!D12/NºAsuntos!G12),'Resol  Asuntos'!D12/NºAsuntos!G12," - ")</f>
        <v>0.19530897609382047</v>
      </c>
      <c r="E12" s="448">
        <f>IF(ISNUMBER((NºAsuntos!C12+NºAsuntos!E12)/NºAsuntos!G12),(NºAsuntos!C12+NºAsuntos!E12)/NºAsuntos!G12," - ")</f>
        <v>1.5215757029018193</v>
      </c>
      <c r="G12" s="466"/>
    </row>
    <row r="13" spans="1:7" ht="14.25" thickTop="1" thickBot="1">
      <c r="A13" s="851" t="str">
        <f>Datos!A13</f>
        <v>TOTAL</v>
      </c>
      <c r="B13" s="861">
        <f>IF(ISNUMBER(NºAsuntos!G13/NºAsuntos!E13),NºAsuntos!G13/NºAsuntos!E13," - ")</f>
        <v>0.96732402475888868</v>
      </c>
      <c r="C13" s="862">
        <f>IF(ISNUMBER(NºAsuntos!I13/NºAsuntos!G13),NºAsuntos!I13/NºAsuntos!G13," - ")</f>
        <v>0.52098214285714284</v>
      </c>
      <c r="D13" s="863">
        <f>IF(ISNUMBER('Resol  Asuntos'!D13/NºAsuntos!G13),'Resol  Asuntos'!D13/NºAsuntos!G13," - ")</f>
        <v>0.19791666666666666</v>
      </c>
      <c r="E13" s="864">
        <f>IF(ISNUMBER((NºAsuntos!C13+NºAsuntos!E13)/NºAsuntos!G13),(NºAsuntos!C13+NºAsuntos!E13)/NºAsuntos!G13," - ")</f>
        <v>1.521279761904762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0.9288876195916036</v>
      </c>
      <c r="C16" s="446">
        <f>IF(ISNUMBER(NºAsuntos!I16/NºAsuntos!G16),NºAsuntos!I16/NºAsuntos!G16," - ")</f>
        <v>0.23873943120676402</v>
      </c>
      <c r="D16" s="447">
        <f>IF(ISNUMBER('Resol  Asuntos'!D16/NºAsuntos!G16),'Resol  Asuntos'!D16/NºAsuntos!G16," - ")</f>
        <v>0.10653343581860107</v>
      </c>
      <c r="E16" s="448">
        <f>IF(ISNUMBER((NºAsuntos!C16+NºAsuntos!E16)/NºAsuntos!G16),(NºAsuntos!C16+NºAsuntos!E16)/NºAsuntos!G16," - ")</f>
        <v>1.2387394312067641</v>
      </c>
      <c r="G16" s="466"/>
    </row>
    <row r="17" spans="1:7" ht="13.5" thickBot="1">
      <c r="A17" s="405" t="str">
        <f>Datos!A17</f>
        <v>Jdos. Violencia contra la mujer</v>
      </c>
      <c r="B17" s="445">
        <f>IF(ISNUMBER(NºAsuntos!G17/NºAsuntos!E17),NºAsuntos!G17/NºAsuntos!E17," - ")</f>
        <v>1.0137457044673539</v>
      </c>
      <c r="C17" s="446">
        <f>IF(ISNUMBER(NºAsuntos!I17/NºAsuntos!G17),NºAsuntos!I17/NºAsuntos!G17," - ")</f>
        <v>0.3254237288135593</v>
      </c>
      <c r="D17" s="447">
        <f>IF(ISNUMBER('Resol  Asuntos'!D17/NºAsuntos!G17),'Resol  Asuntos'!D17/NºAsuntos!G17," - ")</f>
        <v>5.7627118644067797E-2</v>
      </c>
      <c r="E17" s="448">
        <f>IF(ISNUMBER((NºAsuntos!C17+NºAsuntos!E17)/NºAsuntos!G17),(NºAsuntos!C17+NºAsuntos!E17)/NºAsuntos!G17," - ")</f>
        <v>1.3254237288135593</v>
      </c>
      <c r="G17" s="466"/>
    </row>
    <row r="18" spans="1:7" ht="14.25" thickTop="1" thickBot="1">
      <c r="A18" s="851" t="str">
        <f>Datos!A18</f>
        <v>TOTAL</v>
      </c>
      <c r="B18" s="861">
        <f>IF(ISNUMBER(NºAsuntos!G18/NºAsuntos!E18),NºAsuntos!G18/NºAsuntos!E18," - ")</f>
        <v>0.93227310117905127</v>
      </c>
      <c r="C18" s="862">
        <f>IF(ISNUMBER(NºAsuntos!I18/NºAsuntos!G18),NºAsuntos!I18/NºAsuntos!G18," - ")</f>
        <v>0.24249999999999999</v>
      </c>
      <c r="D18" s="865">
        <f>IF(ISNUMBER('Resol  Asuntos'!D18/NºAsuntos!G18),'Resol  Asuntos'!D18/NºAsuntos!G18," - ")</f>
        <v>0.10441176470588236</v>
      </c>
      <c r="E18" s="864">
        <f>IF(ISNUMBER((NºAsuntos!C18+NºAsuntos!E18)/NºAsuntos!G18),(NºAsuntos!C18+NºAsuntos!E18)/NºAsuntos!G18," - ")</f>
        <v>1.2424999999999999</v>
      </c>
      <c r="G18" s="466"/>
    </row>
    <row r="19" spans="1:7" ht="15.75" customHeight="1" thickTop="1" thickBot="1">
      <c r="A19" s="796" t="str">
        <f>Datos!A19</f>
        <v>TOTAL JURISDICCIONES</v>
      </c>
      <c r="B19" s="811">
        <f>IF(ISNUMBER(NºAsuntos!G19/NºAsuntos!E19),NºAsuntos!G19/NºAsuntos!E19," - ")</f>
        <v>0.9493715328979706</v>
      </c>
      <c r="C19" s="812">
        <f>IF(ISNUMBER(NºAsuntos!I19/NºAsuntos!G19),NºAsuntos!I19/NºAsuntos!G19," - ")</f>
        <v>0.38091715976331358</v>
      </c>
      <c r="D19" s="813">
        <f>IF(ISNUMBER('Resol  Asuntos'!D19/NºAsuntos!G19),'Resol  Asuntos'!D19/NºAsuntos!G19," - ")</f>
        <v>0.15088757396449703</v>
      </c>
      <c r="E19" s="814">
        <f>IF(ISNUMBER((NºAsuntos!C19+NºAsuntos!E19)/NºAsuntos!G19),(NºAsuntos!C19+NºAsuntos!E19)/NºAsuntos!G19," - ")</f>
        <v>1.3810650887573965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kw/S6hSb8Nm/+UAMcP+vZjSeV04em5kdFEMCEHZ7Z4vEajib1x2ZCKC5idbnTqdCGdfWcMYz9K8zTDQkavoYA==" saltValue="YRghNKtkAMzKB3ut/UnY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SANT BOI DE LLOBREGAT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48</v>
      </c>
      <c r="G10" s="336">
        <f>IF(ISNUMBER(Datos!I10),Datos!I10," - ")</f>
        <v>48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69</v>
      </c>
      <c r="X10" s="229">
        <f>IF(ISNUMBER(Datos!Q10),Datos!Q10," - ")</f>
        <v>1</v>
      </c>
      <c r="Y10" s="337">
        <f t="shared" ref="Y10:Y12" si="0">SUM(W10:X10)</f>
        <v>70</v>
      </c>
      <c r="Z10" s="338" t="str">
        <f>IF(ISNUMBER(Datos!CC10),Datos!CC10," - ")</f>
        <v xml:space="preserve"> - </v>
      </c>
      <c r="AA10" s="335">
        <f>IF(ISNUMBER(Datos!L10),Datos!L10,"-")</f>
        <v>34</v>
      </c>
      <c r="AB10" s="337">
        <f>IF(ISNUMBER(Datos!R10),Datos!R10," - ")</f>
        <v>25</v>
      </c>
      <c r="AC10" s="337">
        <f t="shared" ref="AC10:AC12" si="1">IF(ISNUMBER(AA10+AB10),AA10+AB10," - ")</f>
        <v>59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31</v>
      </c>
      <c r="AJ10" s="234" t="str">
        <f>IF(ISNUMBER(Datos!BW10),Datos!BW10," - ")</f>
        <v xml:space="preserve"> - </v>
      </c>
      <c r="AK10" s="235" t="str">
        <f>IF(ISNUMBER(Datos!BX10),Datos!BX10," - ")</f>
        <v xml:space="preserve"> - </v>
      </c>
      <c r="AL10" s="246">
        <f>IF(ISNUMBER(NºAsuntos!G10/NºAsuntos!E10),NºAsuntos!G10/NºAsuntos!E10," - ")</f>
        <v>1.2545454545454546</v>
      </c>
      <c r="AM10" s="263">
        <f>IF(ISNUMBER(((NºAsuntos!I10/NºAsuntos!G10)*11)/factor_trimestre),((NºAsuntos!I10/NºAsuntos!G10)*11)/factor_trimestre," - ")</f>
        <v>5.4202898550724639</v>
      </c>
      <c r="AN10" s="247">
        <f>IF(ISNUMBER('Resol  Asuntos'!D10/NºAsuntos!G10),'Resol  Asuntos'!D10/NºAsuntos!G10," - ")</f>
        <v>0.44927536231884058</v>
      </c>
      <c r="AO10" s="248">
        <f>IF(ISNUMBER((NºAsuntos!C10+NºAsuntos!E10)/NºAsuntos!G10),(NºAsuntos!C10+NºAsuntos!E10)/NºAsuntos!G10," - ")</f>
        <v>1.4927536231884058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246</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1225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969</v>
      </c>
      <c r="Y12" s="337">
        <f t="shared" si="0"/>
        <v>969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5043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1299</v>
      </c>
      <c r="AJ12" s="232" t="str">
        <f>IF(ISNUMBER(Datos!BW12),Datos!BW12," - ")</f>
        <v xml:space="preserve"> - </v>
      </c>
      <c r="AK12" s="231" t="str">
        <f>IF(ISNUMBER(Datos!BX12),Datos!BX12," - ")</f>
        <v xml:space="preserve"> - </v>
      </c>
      <c r="AL12" s="246">
        <f>IF(ISNUMBER(NºAsuntos!G12/NºAsuntos!E12),NºAsuntos!G12/NºAsuntos!E12," - ")</f>
        <v>0.96503192106790481</v>
      </c>
      <c r="AM12" s="263">
        <f>IF(ISNUMBER(((NºAsuntos!I12/NºAsuntos!G12)*11)/factor_trimestre),((NºAsuntos!I12/NºAsuntos!G12)*11)/factor_trimestre," - ")</f>
        <v>5.7340249586528333</v>
      </c>
      <c r="AN12" s="247">
        <f>IF(ISNUMBER('Resol  Asuntos'!D12/NºAsuntos!G12),'Resol  Asuntos'!D12/NºAsuntos!G12," - ")</f>
        <v>0.19530897609382047</v>
      </c>
      <c r="AO12" s="248">
        <f>IF(ISNUMBER((NºAsuntos!C12+NºAsuntos!E12)/NºAsuntos!G12),(NºAsuntos!C12+NºAsuntos!E12)/NºAsuntos!G12," - ")</f>
        <v>1.5215757029018193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48</v>
      </c>
      <c r="G13" s="869">
        <f t="shared" si="3"/>
        <v>48</v>
      </c>
      <c r="H13" s="868">
        <f t="shared" si="3"/>
        <v>0</v>
      </c>
      <c r="I13" s="870">
        <f t="shared" si="3"/>
        <v>0</v>
      </c>
      <c r="J13" s="870">
        <f t="shared" si="3"/>
        <v>0</v>
      </c>
      <c r="K13" s="870">
        <f t="shared" si="3"/>
        <v>0</v>
      </c>
      <c r="L13" s="870">
        <f t="shared" si="3"/>
        <v>1230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69</v>
      </c>
      <c r="X13" s="870">
        <f t="shared" si="4"/>
        <v>970</v>
      </c>
      <c r="Y13" s="871">
        <f t="shared" si="4"/>
        <v>1039</v>
      </c>
      <c r="Z13" s="871">
        <f t="shared" si="4"/>
        <v>0</v>
      </c>
      <c r="AA13" s="871">
        <f t="shared" si="4"/>
        <v>34</v>
      </c>
      <c r="AB13" s="871">
        <f t="shared" si="4"/>
        <v>5068</v>
      </c>
      <c r="AC13" s="871">
        <f t="shared" si="4"/>
        <v>59</v>
      </c>
      <c r="AD13" s="871">
        <f t="shared" si="4"/>
        <v>0</v>
      </c>
      <c r="AE13" s="875">
        <f t="shared" si="4"/>
        <v>0</v>
      </c>
      <c r="AF13" s="868">
        <f t="shared" si="4"/>
        <v>0</v>
      </c>
      <c r="AG13" s="876">
        <f t="shared" si="4"/>
        <v>0</v>
      </c>
      <c r="AH13" s="873">
        <f t="shared" si="4"/>
        <v>0</v>
      </c>
      <c r="AI13" s="868">
        <f t="shared" si="4"/>
        <v>1330</v>
      </c>
      <c r="AJ13" s="870">
        <f t="shared" si="4"/>
        <v>0</v>
      </c>
      <c r="AK13" s="873">
        <f>SUBTOTAL(9,AK9:AK12)</f>
        <v>0</v>
      </c>
      <c r="AL13" s="877">
        <f>IF(ISNUMBER(NºAsuntos!G13/NºAsuntos!E13),NºAsuntos!G13/NºAsuntos!E13," - ")</f>
        <v>0.96732402475888868</v>
      </c>
      <c r="AM13" s="877">
        <f>IF(ISNUMBER(((NºAsuntos!I13/NºAsuntos!G13)*11)/factor_trimestre),((NºAsuntos!I13/NºAsuntos!G13)*11)/factor_trimestre," - ")</f>
        <v>5.730803571428571</v>
      </c>
      <c r="AN13" s="878">
        <f>IF(ISNUMBER('Resol  Asuntos'!D13/NºAsuntos!G13),'Resol  Asuntos'!D13/NºAsuntos!G13," - ")</f>
        <v>0.19791666666666666</v>
      </c>
      <c r="AO13" s="879">
        <f>IF(ISNUMBER((NºAsuntos!C13+NºAsuntos!E13)/NºAsuntos!G13),(NºAsuntos!C13+NºAsuntos!E13)/NºAsuntos!G13," - ")</f>
        <v>1.521279761904762</v>
      </c>
      <c r="AP13" s="880" t="str">
        <f t="shared" si="2"/>
        <v xml:space="preserve"> - </v>
      </c>
      <c r="AQ13" s="880">
        <f>IF(ISNUMBER((H13-W13+K13)/(F13)),(H13-W13+K13)/(F13)," - ")</f>
        <v>-1.4375</v>
      </c>
      <c r="AR13" s="881">
        <f>IF(ISNUMBER((Datos!P13-Datos!Q13)/(Datos!R13-Datos!P13+Datos!Q13)),(Datos!P13-Datos!Q13)/(Datos!R13-Datos!P13+Datos!Q13)," - ")</f>
        <v>5.4076539101497505E-2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396</v>
      </c>
      <c r="C16" s="163" t="str">
        <f>Datos!A16</f>
        <v xml:space="preserve">Jdos. 1ª Instª. e Instr.                        </v>
      </c>
      <c r="D16" s="163"/>
      <c r="E16" s="1028">
        <f>IF(ISNUMBER(Datos!AQ16),Datos!AQ16," - ")</f>
        <v>6</v>
      </c>
      <c r="F16" s="228">
        <f>IF(ISNUMBER(AA16+W16-Datos!J16-K16),AA16+W16-Datos!J16-K16," - ")</f>
        <v>1055</v>
      </c>
      <c r="G16" s="336">
        <f>IF(ISNUMBER(IF(D_I="SI",Datos!I16,Datos!I16+Datos!AC16)),IF(D_I="SI",Datos!I16,Datos!I16+Datos!AC16)," - ")</f>
        <v>1055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211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6505</v>
      </c>
      <c r="X16" s="229">
        <f>IF(ISNUMBER(Datos!Q16),Datos!Q16," - ")</f>
        <v>114</v>
      </c>
      <c r="Y16" s="337">
        <f t="shared" ref="Y16:Y17" si="7">SUM(W16:X16)</f>
        <v>6619</v>
      </c>
      <c r="Z16" s="338" t="str">
        <f>IF(ISNUMBER(Datos!CC16),Datos!CC16," - ")</f>
        <v xml:space="preserve"> - </v>
      </c>
      <c r="AA16" s="335">
        <f>IF(ISNUMBER(IF(D_I="SI",Datos!L16,Datos!L16+Datos!AF16)),IF(D_I="SI",Datos!L16,Datos!L16+Datos!AF16)," - ")</f>
        <v>1553</v>
      </c>
      <c r="AB16" s="337">
        <f>IF(ISNUMBER(Datos!R16),Datos!R16," - ")</f>
        <v>475</v>
      </c>
      <c r="AC16" s="337">
        <f t="shared" si="6"/>
        <v>2028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693</v>
      </c>
      <c r="AJ16" s="234" t="str">
        <f>IF(ISNUMBER(Datos!BW16),Datos!BW16," - ")</f>
        <v xml:space="preserve"> - </v>
      </c>
      <c r="AK16" s="235" t="str">
        <f>IF(ISNUMBER(Datos!BX16),Datos!BX16," - ")</f>
        <v xml:space="preserve"> - </v>
      </c>
      <c r="AL16" s="246">
        <f>IF(ISNUMBER(NºAsuntos!G16/NºAsuntos!E16),NºAsuntos!G16/NºAsuntos!E16," - ")</f>
        <v>0.9288876195916036</v>
      </c>
      <c r="AM16" s="263">
        <f>IF(ISNUMBER(((NºAsuntos!I16/NºAsuntos!G16)*11)/factor_trimestre),((NºAsuntos!I16/NºAsuntos!G16)*11)/factor_trimestre," - ")</f>
        <v>2.6261337432744041</v>
      </c>
      <c r="AN16" s="247">
        <f>IF(ISNUMBER('Resol  Asuntos'!D16/NºAsuntos!G16),'Resol  Asuntos'!D16/NºAsuntos!G16," - ")</f>
        <v>0.10653343581860107</v>
      </c>
      <c r="AO16" s="248">
        <f>IF(ISNUMBER((NºAsuntos!C16+NºAsuntos!E16)/NºAsuntos!G16),(NºAsuntos!C16+NºAsuntos!E16)/NºAsuntos!G16," - ")</f>
        <v>1.2387394312067641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295</v>
      </c>
      <c r="X17" s="229">
        <f>IF(ISNUMBER(Datos!Q17),Datos!Q17," - ")</f>
        <v>2</v>
      </c>
      <c r="Y17" s="337">
        <f t="shared" si="7"/>
        <v>297</v>
      </c>
      <c r="Z17" s="338" t="str">
        <f>IF(ISNUMBER(Datos!CC17),Datos!CC17," - ")</f>
        <v xml:space="preserve"> - </v>
      </c>
      <c r="AA17" s="335">
        <f>IF(ISNUMBER(Datos!L17),Datos!L17,"-")</f>
        <v>96</v>
      </c>
      <c r="AB17" s="337">
        <f>IF(ISNUMBER(Datos!R17),Datos!R17," - ")</f>
        <v>5</v>
      </c>
      <c r="AC17" s="337">
        <f t="shared" si="6"/>
        <v>101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17</v>
      </c>
      <c r="AJ17" s="234" t="str">
        <f>IF(ISNUMBER(Datos!BW17),Datos!BW17," - ")</f>
        <v xml:space="preserve"> - </v>
      </c>
      <c r="AK17" s="235" t="str">
        <f>IF(ISNUMBER(Datos!BX17),Datos!BX17," - ")</f>
        <v xml:space="preserve"> - </v>
      </c>
      <c r="AL17" s="246">
        <f>IF(ISNUMBER(NºAsuntos!G17/NºAsuntos!E17),NºAsuntos!G17/NºAsuntos!E17," - ")</f>
        <v>1.0137457044673539</v>
      </c>
      <c r="AM17" s="263">
        <f>IF(ISNUMBER(((NºAsuntos!I17/NºAsuntos!G17)*11)/factor_trimestre),((NºAsuntos!I17/NºAsuntos!G17)*11)/factor_trimestre," - ")</f>
        <v>3.5796610169491521</v>
      </c>
      <c r="AN17" s="247">
        <f>IF(ISNUMBER('Resol  Asuntos'!D17/NºAsuntos!G17),'Resol  Asuntos'!D17/NºAsuntos!G17," - ")</f>
        <v>5.7627118644067797E-2</v>
      </c>
      <c r="AO17" s="248">
        <f>IF(ISNUMBER((NºAsuntos!C17+NºAsuntos!E17)/NºAsuntos!G17),(NºAsuntos!C17+NºAsuntos!E17)/NºAsuntos!G17," - ")</f>
        <v>1.3254237288135593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1055</v>
      </c>
      <c r="G18" s="869">
        <f>SUBTOTAL(9,G15:G17)</f>
        <v>1155</v>
      </c>
      <c r="H18" s="868">
        <f t="shared" ref="H18:O18" si="10">SUBTOTAL(9,H14:H17)</f>
        <v>0</v>
      </c>
      <c r="I18" s="870">
        <f t="shared" si="10"/>
        <v>0</v>
      </c>
      <c r="J18" s="870">
        <f t="shared" si="10"/>
        <v>0</v>
      </c>
      <c r="K18" s="870">
        <f t="shared" si="10"/>
        <v>0</v>
      </c>
      <c r="L18" s="870">
        <f t="shared" si="10"/>
        <v>215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6800</v>
      </c>
      <c r="X18" s="870">
        <f t="shared" si="11"/>
        <v>116</v>
      </c>
      <c r="Y18" s="871">
        <f t="shared" si="11"/>
        <v>6916</v>
      </c>
      <c r="Z18" s="871">
        <f t="shared" si="11"/>
        <v>0</v>
      </c>
      <c r="AA18" s="871">
        <f t="shared" si="11"/>
        <v>1649</v>
      </c>
      <c r="AB18" s="871">
        <f t="shared" si="11"/>
        <v>480</v>
      </c>
      <c r="AC18" s="871">
        <f t="shared" si="11"/>
        <v>2129</v>
      </c>
      <c r="AD18" s="871">
        <f t="shared" si="11"/>
        <v>0</v>
      </c>
      <c r="AE18" s="875">
        <f t="shared" si="11"/>
        <v>0</v>
      </c>
      <c r="AF18" s="868">
        <f t="shared" si="11"/>
        <v>0</v>
      </c>
      <c r="AG18" s="876">
        <f t="shared" si="11"/>
        <v>0</v>
      </c>
      <c r="AH18" s="873">
        <f t="shared" si="11"/>
        <v>0</v>
      </c>
      <c r="AI18" s="868">
        <f t="shared" si="11"/>
        <v>710</v>
      </c>
      <c r="AJ18" s="870">
        <f t="shared" si="11"/>
        <v>0</v>
      </c>
      <c r="AK18" s="873">
        <f t="shared" si="11"/>
        <v>0</v>
      </c>
      <c r="AL18" s="877">
        <f>IF(ISNUMBER(NºAsuntos!G18/NºAsuntos!E18),NºAsuntos!G18/NºAsuntos!E18," - ")</f>
        <v>0.93227310117905127</v>
      </c>
      <c r="AM18" s="877">
        <f>IF(ISNUMBER(((NºAsuntos!I18/NºAsuntos!G18)*11)/factor_trimestre),((NºAsuntos!I18/NºAsuntos!G18)*11)/factor_trimestre," - ")</f>
        <v>2.6675</v>
      </c>
      <c r="AN18" s="878">
        <f>IF(ISNUMBER('Resol  Asuntos'!D18/NºAsuntos!G18),'Resol  Asuntos'!D18/NºAsuntos!G18," - ")</f>
        <v>0.10441176470588236</v>
      </c>
      <c r="AO18" s="879">
        <f>IF(ISNUMBER((NºAsuntos!C18+NºAsuntos!E18)/NºAsuntos!G18),(NºAsuntos!C18+NºAsuntos!E18)/NºAsuntos!G18," - ")</f>
        <v>1.2424999999999999</v>
      </c>
      <c r="AP18" s="880" t="str">
        <f t="shared" si="2"/>
        <v xml:space="preserve"> - </v>
      </c>
      <c r="AQ18" s="880">
        <f>IF(ISNUMBER((H18-W18+K18)/(F18)),(H18-W18+K18)/(F18)," - ")</f>
        <v>-6.4454976303317535</v>
      </c>
      <c r="AR18" s="881">
        <f>IF(ISNUMBER((Datos!P18-Datos!Q18)/(Datos!R18-Datos!P18+Datos!Q18)),(Datos!P18-Datos!Q18)/(Datos!R18-Datos!P18+Datos!Q18)," - ")</f>
        <v>0.25984251968503935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1103</v>
      </c>
      <c r="G19" s="824">
        <f t="shared" si="13"/>
        <v>1203</v>
      </c>
      <c r="H19" s="823">
        <f t="shared" si="13"/>
        <v>0</v>
      </c>
      <c r="I19" s="825">
        <f t="shared" si="13"/>
        <v>0</v>
      </c>
      <c r="J19" s="825">
        <f t="shared" si="13"/>
        <v>0</v>
      </c>
      <c r="K19" s="884">
        <f t="shared" si="13"/>
        <v>0</v>
      </c>
      <c r="L19" s="825">
        <f t="shared" si="13"/>
        <v>1445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6869</v>
      </c>
      <c r="X19" s="824">
        <f t="shared" si="14"/>
        <v>1086</v>
      </c>
      <c r="Y19" s="831">
        <f t="shared" si="14"/>
        <v>7955</v>
      </c>
      <c r="Z19" s="831">
        <f t="shared" si="14"/>
        <v>0</v>
      </c>
      <c r="AA19" s="831">
        <f t="shared" si="14"/>
        <v>1683</v>
      </c>
      <c r="AB19" s="831">
        <f t="shared" si="14"/>
        <v>5548</v>
      </c>
      <c r="AC19" s="831">
        <f t="shared" si="14"/>
        <v>2188</v>
      </c>
      <c r="AD19" s="831">
        <f t="shared" si="14"/>
        <v>0</v>
      </c>
      <c r="AE19" s="833">
        <f t="shared" si="14"/>
        <v>0</v>
      </c>
      <c r="AF19" s="834">
        <f t="shared" si="14"/>
        <v>0</v>
      </c>
      <c r="AG19" s="835">
        <f t="shared" si="14"/>
        <v>0</v>
      </c>
      <c r="AH19" s="833">
        <f t="shared" si="14"/>
        <v>0</v>
      </c>
      <c r="AI19" s="823">
        <f t="shared" si="14"/>
        <v>2040</v>
      </c>
      <c r="AJ19" s="823">
        <f t="shared" si="14"/>
        <v>0</v>
      </c>
      <c r="AK19" s="833">
        <f t="shared" si="14"/>
        <v>0</v>
      </c>
      <c r="AL19" s="887">
        <f>IF(ISNUMBER(NºAsuntos!G19/NºAsuntos!E19),NºAsuntos!G19/NºAsuntos!E19," - ")</f>
        <v>0.9493715328979706</v>
      </c>
      <c r="AM19" s="888">
        <f>IF(ISNUMBER(((NºAsuntos!I19/NºAsuntos!G19)*11)/factor_trimestre),((NºAsuntos!I19/NºAsuntos!G19)*11)/factor_trimestre," - ")</f>
        <v>4.1900887573964498</v>
      </c>
      <c r="AN19" s="888">
        <f>IF(ISNUMBER('Resol  Asuntos'!D19/NºAsuntos!G19),'Resol  Asuntos'!D19/NºAsuntos!G19," - ")</f>
        <v>0.15088757396449703</v>
      </c>
      <c r="AO19" s="889">
        <f>IF(ISNUMBER((NºAsuntos!C19+NºAsuntos!E19)/NºAsuntos!G19),(NºAsuntos!C19+NºAsuntos!E19)/NºAsuntos!G19," - ")</f>
        <v>1.3810650887573965</v>
      </c>
      <c r="AP19" s="890" t="str">
        <f t="shared" si="2"/>
        <v xml:space="preserve"> - </v>
      </c>
      <c r="AQ19" s="891">
        <f>IF(OR(ISNUMBER(FIND("01",Criterios!A8,1)),ISNUMBER(FIND("02",Criterios!A8,1)),ISNUMBER(FIND("03",Criterios!A8,1)),ISNUMBER(FIND("04",Criterios!A8,1))),(I19-W19+K19)/(F19-K19),(H19-W19+K19)/(F19-K19))</f>
        <v>-6.2275611967361737</v>
      </c>
      <c r="AR19" s="892">
        <f>IF(ISNUMBER((Datos!P19-Datos!Q19)/(Datos!R19-Datos!P19+Datos!Q19)),(Datos!P19-Datos!Q19)/(Datos!R19-Datos!P19+Datos!Q19)," - ")</f>
        <v>6.918481402967816E-2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481.2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3.1622776601683795</v>
      </c>
      <c r="F21" s="255">
        <f>IF(ISNUMBER(STDEV(F8:F18)),STDEV(F8:F18),"-")</f>
        <v>581.39172107395314</v>
      </c>
      <c r="G21" s="256">
        <f>IF(ISNUMBER(STDEV(G8:G18)),STDEV(G8:G18),"-")</f>
        <v>570.94018951200133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3567.3885126237656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577.49458871923639</v>
      </c>
      <c r="AJ21" s="255">
        <f t="shared" si="18"/>
        <v>0</v>
      </c>
      <c r="AK21" s="257">
        <f t="shared" si="18"/>
        <v>0</v>
      </c>
      <c r="AL21" s="252">
        <f t="shared" si="18"/>
        <v>0.12351519823624159</v>
      </c>
      <c r="AM21" s="253">
        <f t="shared" si="18"/>
        <v>1.5062642731555884</v>
      </c>
      <c r="AN21" s="253">
        <f t="shared" si="18"/>
        <v>0.14070515744466822</v>
      </c>
      <c r="AO21" s="254">
        <f t="shared" si="18"/>
        <v>0.13704750454620801</v>
      </c>
      <c r="AP21" s="294" t="str">
        <f t="shared" si="18"/>
        <v>-</v>
      </c>
      <c r="AQ21" s="295">
        <f t="shared" si="18"/>
        <v>3.5411890845737442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pEH9dhNcCcrIU1Yq+0CJQHrUGCM7LKESBI8eltAZZZMaDVFigblrpBRI3w8Cadr77191aMCuJtLAuIJY5Olm7A==" saltValue="IVZp3hRX/Pt5O5taWaQZ8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SANT BOI DE LLOBREGAT</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v>
      </c>
      <c r="E10" s="351">
        <f>IF(ISNUMBER((Datos!J10-Datos!T10)/Datos!T10),(Datos!J10-Datos!T10)/Datos!T10," - ")</f>
        <v>5.7692307692307696E-2</v>
      </c>
      <c r="F10" s="351">
        <f>IF(ISNUMBER((Datos!K10-Datos!U10)/Datos!U10),(Datos!K10-Datos!U10)/Datos!U10," - ")</f>
        <v>0.91666666666666663</v>
      </c>
      <c r="G10" s="352">
        <f>IF(ISNUMBER((Datos!L10-Datos!V10)/Datos!V10),(Datos!L10-Datos!V10)/Datos!V10," - ")</f>
        <v>-0.29166666666666669</v>
      </c>
      <c r="H10" s="233">
        <f>IF(ISNUMBER((Datos!M10-Datos!W10)/Datos!W10),(Datos!M10-Datos!W10)/Datos!W10," - ")</f>
        <v>2.4444444444444446</v>
      </c>
      <c r="I10" s="353">
        <f>IF(ISNUMBER((Tasas!C10-Datos!BE10)/Datos!BE10),(Tasas!C10-Datos!BE10)/Datos!BE10," - ")</f>
        <v>-0.63043478260869568</v>
      </c>
      <c r="J10" s="352">
        <f>IF(ISNUMBER((Tasas!D10-Datos!BF10)/Datos!BF10),(Tasas!D10-Datos!BF10)/Datos!BF10," - ")</f>
        <v>0.79710144927536231</v>
      </c>
      <c r="K10" s="354">
        <f>IF(ISNUMBER((Tasas!E10-Datos!BG10)/Datos!BG10),(Tasas!E10-Datos!BG10)/Datos!BG10," - ")</f>
        <v>-0.36024844720496901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0.23479087452471484</v>
      </c>
      <c r="I12" s="353">
        <f>IF(ISNUMBER((Tasas!C12-Datos!BE12)/Datos!BE12),(Tasas!C12-Datos!BE12)/Datos!BE12," - ")</f>
        <v>-9.9327751070033728E-3</v>
      </c>
      <c r="J12" s="352">
        <f>IF(ISNUMBER((Tasas!D12-Datos!BF12)/Datos!BF12),(Tasas!D12-Datos!BF12)/Datos!BF12," - ")</f>
        <v>-0.61583595366339006</v>
      </c>
      <c r="K12" s="354">
        <f>IF(ISNUMBER((Tasas!E12-Datos!BG12)/Datos!BG12),(Tasas!E12-Datos!BG12)/Datos!BG12," - ")</f>
        <v>5.5816141523179538E-3</v>
      </c>
      <c r="M12" t="e">
        <f>IF(Monitorios="SI",Datos!CE12,0)</f>
        <v>#REF!</v>
      </c>
      <c r="N12" t="e">
        <f>IF(Monitorios="SI",Datos!CF12,0)</f>
        <v>#REF!</v>
      </c>
      <c r="O12" t="e">
        <f>IF(Monitorios="SI",Datos!CG12,0)</f>
        <v>#REF!</v>
      </c>
      <c r="P12" t="e">
        <f>IF(Monitorios="SI",Datos!CH12,0)</f>
        <v>#REF!</v>
      </c>
      <c r="Q12">
        <f>IF(J_V="SI",0,Datos!AG12)</f>
        <v>87</v>
      </c>
      <c r="R12">
        <f>IF(J_V="SI",0,Datos!AH12)</f>
        <v>1607</v>
      </c>
      <c r="S12">
        <f>IF(J_V="SI",0,Datos!AI12)</f>
        <v>1547</v>
      </c>
      <c r="T12">
        <f>IF(J_V="SI",0,Datos!AJ12)</f>
        <v>127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0.25353440150801132</v>
      </c>
      <c r="I13" s="360">
        <f>IF(ISNUMBER((Tasas!C13-Datos!BE13)/Datos!BE13),(Tasas!C13-Datos!BE13)/Datos!BE13," - ")</f>
        <v>-1.9262248168498176E-2</v>
      </c>
      <c r="J13" s="358">
        <f>IF(ISNUMBER((Tasas!D13-Datos!BF13)/Datos!BF13),(Tasas!D13-Datos!BF13)/Datos!BF13," - ")</f>
        <v>-0.60954827788441035</v>
      </c>
      <c r="K13" s="361">
        <f>IF(ISNUMBER((Tasas!E13-Datos!BG13)/Datos!BG13),(Tasas!E13-Datos!BG13)/Datos!BG13," - ")</f>
        <v>2.2147518071431757E-3</v>
      </c>
      <c r="M13" t="e">
        <f>IF(Monitorios="SI",Datos!CE13,0)</f>
        <v>#REF!</v>
      </c>
      <c r="N13" t="e">
        <f>IF(Monitorios="SI",Datos!CF13,0)</f>
        <v>#REF!</v>
      </c>
      <c r="O13" t="e">
        <f>IF(Monitorios="SI",Datos!CG13,0)</f>
        <v>#REF!</v>
      </c>
      <c r="P13" t="e">
        <f>IF(Monitorios="SI",Datos!CH13,0)</f>
        <v>#REF!</v>
      </c>
      <c r="Q13">
        <f>IF(J_V="SI",0,Datos!AG13)</f>
        <v>87</v>
      </c>
      <c r="R13">
        <f>IF(J_V="SI",0,Datos!AH13)</f>
        <v>1607</v>
      </c>
      <c r="S13">
        <f>IF(J_V="SI",0,Datos!AI13)</f>
        <v>1547</v>
      </c>
      <c r="T13">
        <f>IF(J_V="SI",0,Datos!AJ13)</f>
        <v>127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0.24557260920897284</v>
      </c>
      <c r="E16" s="351">
        <f>IF(ISNUMBER(
   IF(D_I="SI",(Datos!J16-Datos!T16)/Datos!T16,(Datos!J16+Datos!AD16-(Datos!T16+Datos!AL16))/(Datos!T16+Datos!AL16))
     ),IF(D_I="SI",(Datos!J16-Datos!T16)/Datos!T16,(Datos!J16+Datos!AD16-(Datos!T16+Datos!AL16))/(Datos!T16+Datos!AL16))," - ")</f>
        <v>5.2133413461538464E-2</v>
      </c>
      <c r="F16" s="351">
        <f>IF(ISNUMBER(
   IF(D_I="SI",(Datos!K16-Datos!U16)/Datos!U16,(Datos!K16+Datos!AE16-(Datos!U16+Datos!AM16))/(Datos!U16+Datos!AM16))
     ),IF(D_I="SI",(Datos!K16-Datos!U16)/Datos!U16,(Datos!K16+Datos!AE16-(Datos!U16+Datos!AM16))/(Datos!U16+Datos!AM16))," - ")</f>
        <v>1.3555624805235277E-2</v>
      </c>
      <c r="G16" s="352">
        <f>IF(ISNUMBER(
   IF(D_I="SI",(Datos!L16-Datos!V16)/Datos!V16,(Datos!L16+Datos!AF16-(Datos!V16+Datos!AN16))/(Datos!V16+Datos!AN16))
     ),IF(D_I="SI",(Datos!L16-Datos!V16)/Datos!V16,(Datos!L16+Datos!AF16-(Datos!V16+Datos!AN16))/(Datos!V16+Datos!AN16))," - ")</f>
        <v>0.47203791469194312</v>
      </c>
      <c r="H16" s="233">
        <f>IF(ISNUMBER((Datos!M16-Datos!W16)/Datos!W16),(Datos!M16-Datos!W16)/Datos!W16," - ")</f>
        <v>-7.476635514018691E-2</v>
      </c>
      <c r="I16" s="353">
        <f>IF(ISNUMBER((Tasas!C16-Datos!BE16)/Datos!BE16),(Tasas!C16-Datos!BE16)/Datos!BE16," - ")</f>
        <v>0.45235039761612456</v>
      </c>
      <c r="J16" s="352">
        <f>IF(ISNUMBER((Tasas!D16-Datos!BF16)/Datos!BF16),(Tasas!D16-Datos!BF16)/Datos!BF16," - ")</f>
        <v>-8.7140732865445047E-2</v>
      </c>
      <c r="K16" s="354">
        <f>IF(ISNUMBER((Tasas!E16-Datos!BG16)/Datos!BG16),(Tasas!E16-Datos!BG16)/Datos!BG16," - ")</f>
        <v>5.9606779886047283E-2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0.5625</v>
      </c>
      <c r="E17" s="351">
        <f>IF(ISNUMBER(
   IF(D_I="SI",(Datos!J17-Datos!T17)/Datos!T17,(Datos!J17+Datos!AD17-(Datos!T17+Datos!AL17))/(Datos!T17+Datos!AL17))
     ),IF(D_I="SI",(Datos!J17-Datos!T17)/Datos!T17,(Datos!J17+Datos!AD17-(Datos!T17+Datos!AL17))/(Datos!T17+Datos!AL17))," - ")</f>
        <v>-0.224</v>
      </c>
      <c r="F17" s="351">
        <f>IF(ISNUMBER(
   IF(D_I="SI",(Datos!K17-Datos!U17)/Datos!U17,(Datos!K17+Datos!AE17-(Datos!U17+Datos!AM17))/(Datos!U17+Datos!AM17))
     ),IF(D_I="SI",(Datos!K17-Datos!U17)/Datos!U17,(Datos!K17+Datos!AE17-(Datos!U17+Datos!AM17))/(Datos!U17+Datos!AM17))," - ")</f>
        <v>-0.12979351032448377</v>
      </c>
      <c r="G17" s="352">
        <f>IF(ISNUMBER(
   IF(D_I="SI",(Datos!L17-Datos!V17)/Datos!V17,(Datos!L17+Datos!AF17-(Datos!V17+Datos!AN17))/(Datos!V17+Datos!AN17))
     ),IF(D_I="SI",(Datos!L17-Datos!V17)/Datos!V17,(Datos!L17+Datos!AF17-(Datos!V17+Datos!AN17))/(Datos!V17+Datos!AN17))," - ")</f>
        <v>-0.04</v>
      </c>
      <c r="H17" s="233">
        <f>IF(ISNUMBER((Datos!M17-Datos!W17)/Datos!W17),(Datos!M17-Datos!W17)/Datos!W17," - ")</f>
        <v>-0.22727272727272727</v>
      </c>
      <c r="I17" s="353">
        <f>IF(ISNUMBER((Tasas!C17-Datos!BE17)/Datos!BE17),(Tasas!C17-Datos!BE17)/Datos!BE17," - ")</f>
        <v>0.10318644067796603</v>
      </c>
      <c r="J17" s="352">
        <f>IF(ISNUMBER((Tasas!D17-Datos!BF17)/Datos!BF17),(Tasas!D17-Datos!BF17)/Datos!BF17," - ")</f>
        <v>-0.11201848998459166</v>
      </c>
      <c r="K17" s="354">
        <f>IF(ISNUMBER((Tasas!E17-Datos!BG17)/Datos!BG17),(Tasas!E17-Datos!BG17)/Datos!BG17," - ")</f>
        <v>2.3504883981313493E-2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0.26783754116355651</v>
      </c>
      <c r="E18" s="357">
        <f>IF(ISNUMBER(
   IF(D_I="SI",(Datos!J18-Datos!T18)/Datos!T18,(Datos!J18+Datos!AD18-(Datos!T18+Datos!AL18))/(Datos!T18+Datos!AL18))
     ),IF(D_I="SI",(Datos!J18-Datos!T18)/Datos!T18,(Datos!J18+Datos!AD18-(Datos!T18+Datos!AL18))/(Datos!T18+Datos!AL18))," - ")</f>
        <v>3.7405774427535204E-2</v>
      </c>
      <c r="F18" s="357">
        <f>IF(ISNUMBER(
   IF(D_I="SI",(Datos!K18-Datos!U18)/Datos!U18,(Datos!K18+Datos!AE18-(Datos!U18+Datos!AM18))/(Datos!U18+Datos!AM18))
     ),IF(D_I="SI",(Datos!K18-Datos!U18)/Datos!U18,(Datos!K18+Datos!AE18-(Datos!U18+Datos!AM18))/(Datos!U18+Datos!AM18))," - ")</f>
        <v>6.3637709042474472E-3</v>
      </c>
      <c r="G18" s="358">
        <f>IF(ISNUMBER(
   IF(D_I="SI",(Datos!L18-Datos!V18)/Datos!V18,(Datos!L18+Datos!AF18-(Datos!V18+Datos!AN18))/(Datos!V18+Datos!AN18))
     ),IF(D_I="SI",(Datos!L18-Datos!V18)/Datos!V18,(Datos!L18+Datos!AF18-(Datos!V18+Datos!AN18))/(Datos!V18+Datos!AN18))," - ")</f>
        <v>0.4277056277056277</v>
      </c>
      <c r="H18" s="359">
        <f>IF(ISNUMBER((Datos!M18-Datos!W18)/Datos!W18),(Datos!M18-Datos!W18)/Datos!W18," - ")</f>
        <v>-7.9118028534370943E-2</v>
      </c>
      <c r="I18" s="360">
        <f>IF(ISNUMBER((Tasas!C18-Datos!BE18)/Datos!BE18),(Tasas!C18-Datos!BE18)/Datos!BE18," - ")</f>
        <v>0.41867748917748926</v>
      </c>
      <c r="J18" s="358">
        <f>IF(ISNUMBER((Tasas!D18-Datos!BF18)/Datos!BF18),(Tasas!D18-Datos!BF18)/Datos!BF18," - ")</f>
        <v>-8.4941252765697695E-2</v>
      </c>
      <c r="K18" s="361">
        <f>IF(ISNUMBER((Tasas!E18-Datos!BG18)/Datos!BG18),(Tasas!E18-Datos!BG18)/Datos!BG18," - ")</f>
        <v>5.7110614454797176E-2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0.22032497934453318</v>
      </c>
      <c r="E19" s="366">
        <f>IF(ISNUMBER(
   IF(J_V="SI",(Datos!J19-Datos!T19)/Datos!T19,(Datos!J19+Datos!Z19-(Datos!T19+Datos!AH19))/(Datos!T19+Datos!AH19))
     ),IF(J_V="SI",(Datos!J19-Datos!T19)/Datos!T19,(Datos!J19+Datos!Z19-(Datos!T19+Datos!AH19))/(Datos!T19+Datos!AH19))," - ")</f>
        <v>4.1617905207723814E-2</v>
      </c>
      <c r="F19" s="366">
        <f>IF(ISNUMBER(
   IF(J_V="SI",(Datos!K19-Datos!U19)/Datos!U19,(Datos!K19+Datos!AA19-(Datos!U19+Datos!AI19))/(Datos!U19+Datos!AI19))
     ),IF(J_V="SI",(Datos!K19-Datos!U19)/Datos!U19,(Datos!K19+Datos!AA19-(Datos!U19+Datos!AI19))/(Datos!U19+Datos!AI19))," - ")</f>
        <v>4.6115753636645003E-2</v>
      </c>
      <c r="G19" s="367">
        <f>IF(ISNUMBER(
   IF(J_V="SI",(Datos!L19-Datos!V19)/Datos!V19,(Datos!L19+Datos!AB19-(Datos!V19+Datos!AJ19))/(Datos!V19+Datos!AJ19))
     ),IF(J_V="SI",(Datos!L19-Datos!V19)/Datos!V19,(Datos!L19+Datos!AB19-(Datos!V19+Datos!AJ19))/(Datos!V19+Datos!AJ19))," - ")</f>
        <v>0.16226585420898218</v>
      </c>
      <c r="H19" s="368">
        <f>IF(ISNUMBER((Datos!M19-Datos!W19)/Datos!W19),(Datos!M19-Datos!W19)/Datos!W19," - ")</f>
        <v>0.11353711790393013</v>
      </c>
      <c r="I19" s="365">
        <f>IF(ISNUMBER((Tasas!C19-Datos!BE19)/Datos!BE19),(Tasas!C19-Datos!BE19)/Datos!BE19," - ")</f>
        <v>0.11102987424533163</v>
      </c>
      <c r="J19" s="366">
        <f>IF(ISNUMBER((Tasas!D19-Datos!BF19)/Datos!BF19),(Tasas!D19-Datos!BF19)/Datos!BF19," - ")</f>
        <v>-0.49959686786831931</v>
      </c>
      <c r="K19" s="367">
        <f>IF(ISNUMBER((Tasas!E19-Datos!BG19)/Datos!BG19),(Tasas!E19-Datos!BG19)/Datos!BG19," - ")</f>
        <v>3.1548587360607616E-2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0.16080620255289763</v>
      </c>
      <c r="E21" s="281">
        <f t="shared" si="1"/>
        <v>0.13680659865770536</v>
      </c>
      <c r="F21" s="281">
        <f t="shared" si="1"/>
        <v>0.48118597587370926</v>
      </c>
      <c r="G21" s="282">
        <f t="shared" si="1"/>
        <v>0.37046975006388011</v>
      </c>
      <c r="H21" s="288">
        <f t="shared" si="1"/>
        <v>1.0072831281051879</v>
      </c>
      <c r="I21" s="280">
        <f t="shared" si="1"/>
        <v>0.3929333199205341</v>
      </c>
      <c r="J21" s="281">
        <f t="shared" si="1"/>
        <v>0.515548011373819</v>
      </c>
      <c r="K21" s="282">
        <f t="shared" si="1"/>
        <v>0.16104357077738507</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A0RkEMsDeZ6RDKenbmNVtBwb3RBegHe3pzDy+i7p+vlP8VS1sq6JCc+gmIaSeBiuxm/B+tApMzbZJp4cKUV2Q==" saltValue="tiSGVeXvfd+AWey9iUc9a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